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920" yWindow="0" windowWidth="19580" windowHeight="13440" tabRatio="500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<sst xmlns="http://schemas.openxmlformats.org/spreadsheetml/2006/main" count="76" uniqueCount="66">
  <si>
    <t>Departure</t>
  </si>
  <si>
    <t>Latitude</t>
  </si>
  <si>
    <t>Longitude</t>
  </si>
  <si>
    <t>Great circle</t>
  </si>
  <si>
    <t>Degrees</t>
  </si>
  <si>
    <t>Minutes</t>
  </si>
  <si>
    <t>vertex</t>
  </si>
  <si>
    <t>I. course (rad)</t>
  </si>
  <si>
    <t>dL (deg)</t>
  </si>
  <si>
    <t>Lv (deg)</t>
  </si>
  <si>
    <t>Cos(|Lv|)</t>
  </si>
  <si>
    <t>|Lv| (rad)</t>
  </si>
  <si>
    <t>|Lv| (deg)</t>
  </si>
  <si>
    <t>Zn South?</t>
  </si>
  <si>
    <t>Zn East?</t>
  </si>
  <si>
    <t>Sin(|dL|)</t>
  </si>
  <si>
    <t>|dL| (deg)</t>
  </si>
  <si>
    <t>LonD + dL</t>
  </si>
  <si>
    <t>Dep Lat (rad)</t>
  </si>
  <si>
    <t>Dep Lon (rad)</t>
  </si>
  <si>
    <t>Waypoints</t>
  </si>
  <si>
    <t>Course</t>
  </si>
  <si>
    <t>Distance (nm)</t>
  </si>
  <si>
    <t>Pi</t>
  </si>
  <si>
    <t>dLon (rad)</t>
  </si>
  <si>
    <t>2*Pi</t>
  </si>
  <si>
    <t>Sin(Lat)</t>
  </si>
  <si>
    <t>Lat (rad)</t>
  </si>
  <si>
    <t>Cos(Lat)</t>
  </si>
  <si>
    <t>Pi/2</t>
  </si>
  <si>
    <t>Pi/4</t>
  </si>
  <si>
    <t>exc</t>
  </si>
  <si>
    <t>Rhumb-line</t>
  </si>
  <si>
    <t>course</t>
  </si>
  <si>
    <t>calculation</t>
  </si>
  <si>
    <t>Dep Lat term</t>
  </si>
  <si>
    <t>Dest Lat term</t>
  </si>
  <si>
    <t>Denominator</t>
  </si>
  <si>
    <t>atan (rad)</t>
  </si>
  <si>
    <t>atan (deg)</t>
  </si>
  <si>
    <t>E/W?</t>
  </si>
  <si>
    <t>Distance (deg)</t>
  </si>
  <si>
    <t>dLon (short)</t>
  </si>
  <si>
    <t>Course (deg)</t>
  </si>
  <si>
    <t>I. Course</t>
  </si>
  <si>
    <t>|dLon| (deg)</t>
  </si>
  <si>
    <t>|Sin(dLon)|</t>
  </si>
  <si>
    <t>Cos(Zi)</t>
  </si>
  <si>
    <t>Zi (rad)</t>
  </si>
  <si>
    <t>|Lat| (rad)</t>
  </si>
  <si>
    <t>LonVx</t>
  </si>
  <si>
    <t>LonVy</t>
  </si>
  <si>
    <t>LonV (rad)</t>
  </si>
  <si>
    <t>W dot V</t>
  </si>
  <si>
    <t>W with V?</t>
  </si>
  <si>
    <t>LatV positive</t>
  </si>
  <si>
    <t>Lat (deg)</t>
  </si>
  <si>
    <t>Invalid?</t>
  </si>
  <si>
    <t>Cos(|Lat|)</t>
  </si>
  <si>
    <t>Zn (rad)</t>
  </si>
  <si>
    <t>Test 1st q |dL|</t>
  </si>
  <si>
    <t>Test 2nd q |dL|</t>
  </si>
  <si>
    <t>|dL| (deg) 2</t>
  </si>
  <si>
    <t>Zn E/W?</t>
  </si>
  <si>
    <t>Hemisphere N?</t>
  </si>
  <si>
    <t>Total (nm)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</si>
</sst>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???/???"/>
    <numFmt numFmtId="173" formatCode="0.0"/>
    <numFmt numFmtId="174" formatCode="00.0"/>
    <numFmt numFmtId="175" formatCode="000.0"/>
    <numFmt numFmtId="176" formatCode="0.000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8"/>
      <name val="Verdana"/>
      <family val="0"/>
    </font>
    <font>
      <sz val="10"/>
      <name val="Verdana B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NumberFormat="1" applyFill="1" applyAlignment="1" applyProtection="1">
      <alignment horizontal="left"/>
      <protection/>
    </xf>
    <xf numFmtId="174" fontId="2" fillId="0" borderId="0" xfId="0" applyNumberFormat="1" applyFont="1" applyFill="1" applyAlignment="1" applyProtection="1">
      <alignment horizontal="left"/>
      <protection/>
    </xf>
    <xf numFmtId="49" fontId="3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49" fontId="1" fillId="33" borderId="0" xfId="0" applyNumberFormat="1" applyFont="1" applyFill="1" applyAlignment="1">
      <alignment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NumberFormat="1" applyAlignment="1">
      <alignment/>
    </xf>
    <xf numFmtId="172" fontId="2" fillId="34" borderId="10" xfId="0" applyNumberFormat="1" applyFont="1" applyFill="1" applyBorder="1" applyAlignment="1" applyProtection="1">
      <alignment horizontal="left"/>
      <protection locked="0"/>
    </xf>
    <xf numFmtId="176" fontId="2" fillId="34" borderId="10" xfId="0" applyNumberFormat="1" applyFont="1" applyFill="1" applyBorder="1" applyAlignment="1" applyProtection="1">
      <alignment horizontal="left"/>
      <protection locked="0"/>
    </xf>
    <xf numFmtId="174" fontId="2" fillId="35" borderId="10" xfId="0" applyNumberFormat="1" applyFont="1" applyFill="1" applyBorder="1" applyAlignment="1" applyProtection="1">
      <alignment horizontal="right"/>
      <protection/>
    </xf>
    <xf numFmtId="173" fontId="0" fillId="36" borderId="10" xfId="0" applyNumberFormat="1" applyFill="1" applyBorder="1" applyAlignment="1">
      <alignment horizontal="right"/>
    </xf>
    <xf numFmtId="176" fontId="0" fillId="37" borderId="10" xfId="0" applyNumberFormat="1" applyFill="1" applyBorder="1" applyAlignment="1">
      <alignment horizontal="right"/>
    </xf>
    <xf numFmtId="1" fontId="0" fillId="37" borderId="10" xfId="0" applyNumberFormat="1" applyFill="1" applyBorder="1" applyAlignment="1">
      <alignment horizontal="right"/>
    </xf>
    <xf numFmtId="174" fontId="0" fillId="37" borderId="10" xfId="0" applyNumberFormat="1" applyFill="1" applyBorder="1" applyAlignment="1">
      <alignment horizontal="right"/>
    </xf>
    <xf numFmtId="176" fontId="0" fillId="37" borderId="10" xfId="0" applyNumberFormat="1" applyFont="1" applyFill="1" applyBorder="1" applyAlignment="1">
      <alignment horizontal="right"/>
    </xf>
    <xf numFmtId="1" fontId="0" fillId="37" borderId="10" xfId="0" applyNumberFormat="1" applyFont="1" applyFill="1" applyBorder="1" applyAlignment="1">
      <alignment horizontal="right"/>
    </xf>
    <xf numFmtId="174" fontId="0" fillId="37" borderId="10" xfId="0" applyNumberFormat="1" applyFont="1" applyFill="1" applyBorder="1" applyAlignment="1">
      <alignment horizontal="right"/>
    </xf>
    <xf numFmtId="174" fontId="2" fillId="35" borderId="10" xfId="0" applyNumberFormat="1" applyFont="1" applyFill="1" applyBorder="1" applyAlignment="1">
      <alignment horizontal="left"/>
    </xf>
    <xf numFmtId="173" fontId="0" fillId="37" borderId="1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="150" zoomScaleNormal="150" workbookViewId="0" topLeftCell="A10">
      <selection activeCell="A39" sqref="A39"/>
    </sheetView>
  </sheetViews>
  <sheetFormatPr defaultColWidth="11.00390625" defaultRowHeight="12.75"/>
  <cols>
    <col min="1" max="1" width="11.25390625" style="0" bestFit="1" customWidth="1"/>
    <col min="3" max="3" width="11.00390625" style="0" customWidth="1"/>
    <col min="4" max="4" width="9.375" style="0" customWidth="1"/>
    <col min="5" max="5" width="8.00390625" style="0" customWidth="1"/>
    <col min="6" max="6" width="11.625" style="0" customWidth="1"/>
    <col min="7" max="7" width="9.125" style="0" customWidth="1"/>
    <col min="8" max="8" width="11.75390625" style="0" customWidth="1"/>
    <col min="9" max="9" width="12.25390625" style="0" bestFit="1" customWidth="1"/>
    <col min="11" max="11" width="12.00390625" style="0" bestFit="1" customWidth="1"/>
    <col min="12" max="12" width="11.00390625" style="0" bestFit="1" customWidth="1"/>
    <col min="16" max="16" width="11.625" style="0" customWidth="1"/>
    <col min="17" max="17" width="12.125" style="0" bestFit="1" customWidth="1"/>
    <col min="18" max="19" width="12.125" style="0" customWidth="1"/>
    <col min="20" max="20" width="11.375" style="0" bestFit="1" customWidth="1"/>
    <col min="23" max="23" width="12.00390625" style="0" bestFit="1" customWidth="1"/>
  </cols>
  <sheetData>
    <row r="1" spans="1:20" s="1" customFormat="1" ht="12.75">
      <c r="A1" s="5" t="s">
        <v>0</v>
      </c>
      <c r="B1" s="1" t="s">
        <v>1</v>
      </c>
      <c r="C1" s="1" t="s">
        <v>2</v>
      </c>
      <c r="D1" s="7" t="s">
        <v>44</v>
      </c>
      <c r="E1"/>
      <c r="F1" s="6" t="s">
        <v>65</v>
      </c>
      <c r="G1"/>
      <c r="H1"/>
      <c r="I1" t="s">
        <v>18</v>
      </c>
      <c r="J1" s="8" t="s">
        <v>19</v>
      </c>
      <c r="K1" s="8" t="s">
        <v>7</v>
      </c>
      <c r="L1" t="s">
        <v>10</v>
      </c>
      <c r="M1" t="s">
        <v>11</v>
      </c>
      <c r="N1" t="s">
        <v>12</v>
      </c>
      <c r="O1" t="s">
        <v>15</v>
      </c>
      <c r="P1" t="s">
        <v>62</v>
      </c>
      <c r="Q1" s="8" t="s">
        <v>52</v>
      </c>
      <c r="R1" s="8" t="s">
        <v>55</v>
      </c>
      <c r="S1" s="8" t="s">
        <v>59</v>
      </c>
      <c r="T1" s="8" t="s">
        <v>16</v>
      </c>
    </row>
    <row r="2" spans="2:20" ht="12.75">
      <c r="B2" s="15">
        <v>42.365</v>
      </c>
      <c r="C2" s="15">
        <v>-71.005</v>
      </c>
      <c r="D2" s="16">
        <v>247.727</v>
      </c>
      <c r="F2" s="18">
        <f>SUM(F11:F49)</f>
        <v>7960.688118435174</v>
      </c>
      <c r="I2">
        <f>RADIANS(B2)</f>
        <v>0.7394087376073978</v>
      </c>
      <c r="J2">
        <f>RADIANS(C2)</f>
        <v>-1.2392710353785736</v>
      </c>
      <c r="K2">
        <f>RADIANS(D2)</f>
        <v>4.323651796087993</v>
      </c>
      <c r="L2">
        <f>ABS(COS(I2)*SIN(K2))</f>
        <v>0.6837390756707376</v>
      </c>
      <c r="M2">
        <f>ACOS(L2)</f>
        <v>0.8179219706930136</v>
      </c>
      <c r="N2">
        <f>DEGREES(M2)</f>
        <v>46.86347689173269</v>
      </c>
      <c r="O2">
        <f>ABS(COS(K2)/SIN(M2))</f>
        <v>0.5194001901922404</v>
      </c>
      <c r="P2">
        <f>IF(O2&gt;0.999999,90,DEGREES(ASIN(O2)))</f>
        <v>31.292026037667057</v>
      </c>
      <c r="Q2">
        <f>RADIANS(D7)</f>
        <v>2.4484705021883046</v>
      </c>
      <c r="R2">
        <f>IF(M5&gt;0,1,-1)</f>
        <v>-1</v>
      </c>
      <c r="S2">
        <f>RADIANS(D2)</f>
        <v>4.323651796087993</v>
      </c>
      <c r="T2">
        <f>IF(N7,180,IF(ABS(R5)&lt;ABS(S5),P2,P3))</f>
        <v>148.70797396233294</v>
      </c>
    </row>
    <row r="3" spans="2:16" s="3" customFormat="1" ht="12.75">
      <c r="B3" s="17">
        <f>ABS(B2-TRUNC(B2))*60</f>
        <v>21.90000000000012</v>
      </c>
      <c r="C3" s="17">
        <f>ABS(C2-TRUNC(C2))*60</f>
        <v>0.29999999999972715</v>
      </c>
      <c r="D3" s="4"/>
      <c r="E3"/>
      <c r="F3"/>
      <c r="G3"/>
      <c r="H3"/>
      <c r="I3"/>
      <c r="P3" s="3">
        <f>180-P2</f>
        <v>148.70797396233294</v>
      </c>
    </row>
    <row r="4" spans="9:19" ht="12.75">
      <c r="I4" t="s">
        <v>23</v>
      </c>
      <c r="J4" t="s">
        <v>25</v>
      </c>
      <c r="K4" t="s">
        <v>29</v>
      </c>
      <c r="L4" t="s">
        <v>13</v>
      </c>
      <c r="M4" t="s">
        <v>9</v>
      </c>
      <c r="N4" t="s">
        <v>14</v>
      </c>
      <c r="O4" t="s">
        <v>8</v>
      </c>
      <c r="P4" t="s">
        <v>17</v>
      </c>
      <c r="Q4" t="s">
        <v>50</v>
      </c>
      <c r="R4" t="s">
        <v>60</v>
      </c>
      <c r="S4" t="s">
        <v>61</v>
      </c>
    </row>
    <row r="5" spans="1:20" ht="12.75">
      <c r="A5" s="6" t="s">
        <v>3</v>
      </c>
      <c r="B5" s="6" t="s">
        <v>6</v>
      </c>
      <c r="I5">
        <v>3.14159265359</v>
      </c>
      <c r="J5">
        <f>2*$I$5</f>
        <v>6.28318530718</v>
      </c>
      <c r="K5">
        <f>$I$5/2</f>
        <v>1.570796326795</v>
      </c>
      <c r="L5" t="b">
        <f>AND(D2&gt;=90,D2&lt;=270)</f>
        <v>1</v>
      </c>
      <c r="M5">
        <f>IF(N7,-O7*N2,IF(L5,-N2,N2))</f>
        <v>-46.86347689173269</v>
      </c>
      <c r="N5">
        <f>IF(AND(D2&gt;=0,D2&lt;=180),1,-1)</f>
        <v>-1</v>
      </c>
      <c r="O5">
        <f>N5*T2</f>
        <v>-148.70797396233294</v>
      </c>
      <c r="P5" s="14">
        <f>C2+O5</f>
        <v>-219.71297396233294</v>
      </c>
      <c r="Q5" s="14">
        <f>COS(Q2)</f>
        <v>-0.7692548937860548</v>
      </c>
      <c r="R5" s="14">
        <f>-COS(S2)*COS(RADIANS(P2))+SIN(S2)*O2*SIN(I2)*N5</f>
        <v>0.6477689830173236</v>
      </c>
      <c r="S5" s="14">
        <f>-COS(S2)*COS(RADIANS(P3))+SIN(S2)*O2*SIN(I2)*N5</f>
        <v>0</v>
      </c>
      <c r="T5" s="14"/>
    </row>
    <row r="6" spans="1:17" ht="12.75">
      <c r="A6" s="2" t="s">
        <v>1</v>
      </c>
      <c r="B6" s="2" t="s">
        <v>4</v>
      </c>
      <c r="C6" s="2" t="s">
        <v>5</v>
      </c>
      <c r="D6" s="2" t="s">
        <v>2</v>
      </c>
      <c r="E6" s="2" t="s">
        <v>4</v>
      </c>
      <c r="F6" s="2" t="s">
        <v>5</v>
      </c>
      <c r="I6" s="12" t="s">
        <v>31</v>
      </c>
      <c r="K6" t="s">
        <v>30</v>
      </c>
      <c r="M6" t="s">
        <v>43</v>
      </c>
      <c r="N6" t="s">
        <v>63</v>
      </c>
      <c r="O6" t="s">
        <v>64</v>
      </c>
      <c r="Q6" t="s">
        <v>51</v>
      </c>
    </row>
    <row r="7" spans="1:17" ht="12.75">
      <c r="A7" s="19">
        <f>M5</f>
        <v>-46.86347689173269</v>
      </c>
      <c r="B7" s="20">
        <f>TRUNC(A7)</f>
        <v>-46</v>
      </c>
      <c r="C7" s="21">
        <f>ABS(A7-B7)*60</f>
        <v>51.80861350396128</v>
      </c>
      <c r="D7" s="22">
        <f>IF(P5&gt;180,P5-360,IF(P5&lt;=-180,P5+360,P5))</f>
        <v>140.28702603766706</v>
      </c>
      <c r="E7" s="23">
        <f>TRUNC(D7)</f>
        <v>140</v>
      </c>
      <c r="F7" s="24">
        <f>ABS(D7-E7)*60</f>
        <v>17.22156226002369</v>
      </c>
      <c r="I7">
        <v>0.082483399</v>
      </c>
      <c r="K7">
        <f>$I$5/4</f>
        <v>0.7853981633975</v>
      </c>
      <c r="M7">
        <f>D2-INT(D2/360)*360</f>
        <v>247.727</v>
      </c>
      <c r="N7" t="b">
        <f>OR(ABS(D2-90)&lt;0.001,ABS(D2-270)&lt;0.001)</f>
        <v>0</v>
      </c>
      <c r="O7">
        <f>IF(B2&gt;=0,1,-1)</f>
        <v>1</v>
      </c>
      <c r="Q7">
        <f>SIN(Q2)</f>
        <v>0.6389420227111421</v>
      </c>
    </row>
    <row r="8" spans="23:27" ht="12.75">
      <c r="W8" s="11" t="s">
        <v>32</v>
      </c>
      <c r="X8" s="11" t="s">
        <v>33</v>
      </c>
      <c r="Y8" s="11" t="s">
        <v>34</v>
      </c>
      <c r="Z8" s="11"/>
      <c r="AA8" s="11"/>
    </row>
    <row r="9" spans="1:32" ht="12.75">
      <c r="A9" s="9" t="s">
        <v>20</v>
      </c>
      <c r="C9" s="2"/>
      <c r="I9" t="s">
        <v>45</v>
      </c>
      <c r="J9" t="s">
        <v>19</v>
      </c>
      <c r="K9" t="s">
        <v>46</v>
      </c>
      <c r="L9" t="s">
        <v>47</v>
      </c>
      <c r="M9" t="s">
        <v>48</v>
      </c>
      <c r="N9" t="s">
        <v>58</v>
      </c>
      <c r="O9" t="s">
        <v>49</v>
      </c>
      <c r="P9" t="s">
        <v>53</v>
      </c>
      <c r="Q9" t="s">
        <v>54</v>
      </c>
      <c r="R9" t="s">
        <v>27</v>
      </c>
      <c r="S9" t="s">
        <v>56</v>
      </c>
      <c r="T9" s="11" t="s">
        <v>26</v>
      </c>
      <c r="U9" t="s">
        <v>28</v>
      </c>
      <c r="V9" t="s">
        <v>27</v>
      </c>
      <c r="W9" t="s">
        <v>35</v>
      </c>
      <c r="X9" t="s">
        <v>36</v>
      </c>
      <c r="Y9" t="s">
        <v>37</v>
      </c>
      <c r="Z9" t="s">
        <v>24</v>
      </c>
      <c r="AA9" t="s">
        <v>42</v>
      </c>
      <c r="AB9" t="s">
        <v>38</v>
      </c>
      <c r="AC9" t="s">
        <v>39</v>
      </c>
      <c r="AD9" t="s">
        <v>40</v>
      </c>
      <c r="AE9" t="s">
        <v>41</v>
      </c>
      <c r="AF9" t="s">
        <v>57</v>
      </c>
    </row>
    <row r="10" spans="1:22" ht="12.75">
      <c r="A10" s="10" t="s">
        <v>2</v>
      </c>
      <c r="C10" s="2" t="s">
        <v>1</v>
      </c>
      <c r="D10" s="2" t="s">
        <v>4</v>
      </c>
      <c r="E10" s="13" t="s">
        <v>5</v>
      </c>
      <c r="F10" s="2" t="s">
        <v>22</v>
      </c>
      <c r="G10" s="2" t="s">
        <v>21</v>
      </c>
      <c r="H10" s="2"/>
      <c r="I10">
        <f>RADIANS(IF($M$7&gt;180,180-$M$7,$M$7))</f>
        <v>-1.1820591424981997</v>
      </c>
      <c r="J10">
        <f>$J$2</f>
        <v>-1.2392710353785736</v>
      </c>
      <c r="T10">
        <f>SIN($I$2)</f>
        <v>0.673851165104127</v>
      </c>
      <c r="U10">
        <f>COS($I$2)</f>
        <v>0.7388671107092334</v>
      </c>
      <c r="V10">
        <f>ASIN(T10)</f>
        <v>0.7394087376073978</v>
      </c>
    </row>
    <row r="11" spans="1:32" ht="12.75">
      <c r="A11" s="15">
        <v>-77.07666666666667</v>
      </c>
      <c r="B11" s="25">
        <f>ABS(A11-TRUNC(A11))*60</f>
        <v>4.60000000000008</v>
      </c>
      <c r="C11" s="19">
        <f>IF(ISBLANK(A11),0,S11)</f>
        <v>40.306496688970064</v>
      </c>
      <c r="D11" s="20">
        <f>TRUNC(C11)</f>
        <v>40</v>
      </c>
      <c r="E11" s="24">
        <f>ABS(C11-D11)*60</f>
        <v>18.389801338203853</v>
      </c>
      <c r="F11" s="26">
        <f>IF(AF11,0,ABS(AE11)*60)</f>
        <v>301.0559267700187</v>
      </c>
      <c r="G11" s="26">
        <f>IF(AF11,0,IF(AC11&lt;0,360+AC11,AC11))</f>
        <v>245.7790412689769</v>
      </c>
      <c r="I11">
        <f>ABS(A11-$D$7)</f>
        <v>217.36369270433374</v>
      </c>
      <c r="J11">
        <f>IF(A11=$C$2,RADIANS(A11+360),RADIANS(A11))</f>
        <v>-1.345241609795496</v>
      </c>
      <c r="K11">
        <f>SIN(RADIANS(I11))</f>
        <v>-0.6068723116823859</v>
      </c>
      <c r="L11">
        <f>K11*SIN(RADIANS($M$5))</f>
        <v>0.4428508543560514</v>
      </c>
      <c r="M11">
        <f>ACOS(L11)</f>
        <v>1.1120204964034202</v>
      </c>
      <c r="N11">
        <f>$L$2/SIN(M11)</f>
        <v>0.7625949861970357</v>
      </c>
      <c r="O11">
        <f>IF(N11&gt;0.999999,0,ACOS(N11))</f>
        <v>0.7034810771667204</v>
      </c>
      <c r="P11">
        <f>COS(J11)*$Q$5+SIN(J11)*$Q$7</f>
        <v>-0.7947993440568994</v>
      </c>
      <c r="Q11">
        <f>IF(P11&gt;0,1,-1)</f>
        <v>-1</v>
      </c>
      <c r="R11">
        <f>Q11*$R$2*O11</f>
        <v>0.7034810771667204</v>
      </c>
      <c r="S11">
        <f>DEGREES(R11)</f>
        <v>40.306496688970064</v>
      </c>
      <c r="T11">
        <f>SIN(R11)</f>
        <v>0.6468762532564809</v>
      </c>
      <c r="U11">
        <f>SQRT(1-T11*T11)</f>
        <v>0.7625949861970358</v>
      </c>
      <c r="V11">
        <f>R11</f>
        <v>0.7034810771667204</v>
      </c>
      <c r="W11">
        <f>LN(TAN($K$7+V10/2)/((1+$I$7*T10)/(1-$I$7*T10))^($I$7/2))</f>
        <v>0.8131749720206635</v>
      </c>
      <c r="X11">
        <f>LN(TAN($K$7+V11/2)/((1+$I$7*T11)/(1-$I$7*T11))^($I$7/2))</f>
        <v>0.765503306548322</v>
      </c>
      <c r="Y11">
        <f>X11-W11</f>
        <v>-0.04767166547234147</v>
      </c>
      <c r="Z11">
        <f>J11-J10</f>
        <v>-0.10597057441692237</v>
      </c>
      <c r="AA11">
        <f>IF(Z11&lt;=-$I$5,Z11+$J$5,IF(Z11&gt;$I$5,Z11-$J$5,Z11))</f>
        <v>-0.10597057441692237</v>
      </c>
      <c r="AB11">
        <f>ATAN2(Y11,AA11)</f>
        <v>-1.9935318046409174</v>
      </c>
      <c r="AC11">
        <f>DEGREES(AB11)</f>
        <v>-114.2209587310231</v>
      </c>
      <c r="AD11" t="b">
        <f>OR(ABS(AC11)=90,ABS(AC11)=270)</f>
        <v>0</v>
      </c>
      <c r="AE11">
        <f>IF(AD11,DEGREES(AA11)*U10,DEGREES(V11-V10)/COS(AB11))</f>
        <v>5.017598779500311</v>
      </c>
      <c r="AF11" t="b">
        <f>ISBLANK(A11)</f>
        <v>0</v>
      </c>
    </row>
    <row r="12" spans="1:32" ht="12.75">
      <c r="A12" s="15">
        <v>-82.76333333333334</v>
      </c>
      <c r="B12" s="25">
        <f aca="true" t="shared" si="0" ref="B12:B49">ABS(A12-TRUNC(A12))*60</f>
        <v>45.800000000000125</v>
      </c>
      <c r="C12" s="19">
        <f aca="true" t="shared" si="1" ref="C12:C49">IF(ISBLANK(A12),0,S12)</f>
        <v>37.95079863502233</v>
      </c>
      <c r="D12" s="20">
        <f aca="true" t="shared" si="2" ref="D12:D49">TRUNC(C12)</f>
        <v>37</v>
      </c>
      <c r="E12" s="24">
        <f aca="true" t="shared" si="3" ref="E12:E49">ABS(C12-D12)*60</f>
        <v>57.04791810133983</v>
      </c>
      <c r="F12" s="26">
        <f aca="true" t="shared" si="4" ref="F12:F49">IF(AF12,0,ABS(AE12)*60)</f>
        <v>300.9787382070005</v>
      </c>
      <c r="G12" s="26">
        <f aca="true" t="shared" si="5" ref="G12:G49">IF(AF12,0,IF(AC12&lt;0,360+AC12,AC12))</f>
        <v>241.9911762214986</v>
      </c>
      <c r="I12">
        <f aca="true" t="shared" si="6" ref="I12:I49">ABS(A12-$D$7)</f>
        <v>223.0503593710004</v>
      </c>
      <c r="J12">
        <f aca="true" t="shared" si="7" ref="J12:J49">IF(A12=$C$2,RADIANS(A12+360),RADIANS(A12))</f>
        <v>-1.4444926665922404</v>
      </c>
      <c r="K12">
        <f aca="true" t="shared" si="8" ref="K12:K49">SIN(RADIANS(I12))</f>
        <v>-0.6826409102541116</v>
      </c>
      <c r="L12">
        <f aca="true" t="shared" si="9" ref="L12:L49">K12*SIN(RADIANS($M$5))</f>
        <v>0.4981412143954305</v>
      </c>
      <c r="M12">
        <f aca="true" t="shared" si="10" ref="M12:M49">ACOS(L12)</f>
        <v>1.0493425653612807</v>
      </c>
      <c r="N12">
        <f aca="true" t="shared" si="11" ref="N12:N49">$L$2/SIN(M12)</f>
        <v>0.7885391474006183</v>
      </c>
      <c r="O12">
        <f aca="true" t="shared" si="12" ref="O12:O49">IF(N12&gt;0.999999,0,ACOS(N12))</f>
        <v>0.6623663899425095</v>
      </c>
      <c r="P12">
        <f aca="true" t="shared" si="13" ref="P12:P49">COS(J12)*$Q$5+SIN(J12)*$Q$7</f>
        <v>-0.730753985721213</v>
      </c>
      <c r="Q12">
        <f aca="true" t="shared" si="14" ref="Q12:Q49">IF(P12&gt;0,1,-1)</f>
        <v>-1</v>
      </c>
      <c r="R12">
        <f aca="true" t="shared" si="15" ref="R12:R49">Q12*$R$2*O12</f>
        <v>0.6623663899425095</v>
      </c>
      <c r="S12">
        <f aca="true" t="shared" si="16" ref="S12:S49">DEGREES(R12)</f>
        <v>37.95079863502233</v>
      </c>
      <c r="T12">
        <f aca="true" t="shared" si="17" ref="T12:T49">SIN(R12)</f>
        <v>0.6149845632344815</v>
      </c>
      <c r="U12">
        <f aca="true" t="shared" si="18" ref="U12:U49">SQRT(1-T12*T12)</f>
        <v>0.7885391474006183</v>
      </c>
      <c r="V12">
        <f aca="true" t="shared" si="19" ref="V12:V49">R12</f>
        <v>0.6623663899425095</v>
      </c>
      <c r="W12">
        <f aca="true" t="shared" si="20" ref="W12:W49">LN(TAN($K$7+V11/2)/((1+$I$7*T11)/(1-$I$7*T11))^($I$7/2))</f>
        <v>0.765503306548322</v>
      </c>
      <c r="X12">
        <f aca="true" t="shared" si="21" ref="X12:X49">LN(TAN($K$7+V12/2)/((1+$I$7*T12)/(1-$I$7*T12))^($I$7/2))</f>
        <v>0.7127109755687857</v>
      </c>
      <c r="Y12">
        <f aca="true" t="shared" si="22" ref="Y12:Y49">X12-W12</f>
        <v>-0.052792330979536284</v>
      </c>
      <c r="Z12">
        <f aca="true" t="shared" si="23" ref="Z12:Z49">J12-J11</f>
        <v>-0.0992510567967444</v>
      </c>
      <c r="AA12">
        <f aca="true" t="shared" si="24" ref="AA12:AA49">IF(Z12&lt;=-$I$5,Z12+$J$5,IF(Z12&gt;$I$5,Z12-$J$5,Z12))</f>
        <v>-0.0992510567967444</v>
      </c>
      <c r="AB12">
        <f aca="true" t="shared" si="25" ref="AB12:AB49">ATAN2(Y12,AA12)</f>
        <v>-2.059642521340625</v>
      </c>
      <c r="AC12">
        <f aca="true" t="shared" si="26" ref="AC12:AC49">DEGREES(AB12)</f>
        <v>-118.00882377850141</v>
      </c>
      <c r="AD12" t="b">
        <f aca="true" t="shared" si="27" ref="AD12:AD49">OR(ABS(AC12)=90,ABS(AC12)=270)</f>
        <v>0</v>
      </c>
      <c r="AE12">
        <f aca="true" t="shared" si="28" ref="AE12:AE49">IF(AD12,DEGREES(AA12)*U11,DEGREES(V12-V11)/COS(AB12))</f>
        <v>5.016312303450008</v>
      </c>
      <c r="AF12" t="b">
        <f aca="true" t="shared" si="29" ref="AF12:AF49">ISBLANK(A12)</f>
        <v>0</v>
      </c>
    </row>
    <row r="13" spans="1:32" ht="12.75">
      <c r="A13" s="15">
        <v>-88.07833333333333</v>
      </c>
      <c r="B13" s="25">
        <f t="shared" si="0"/>
        <v>4.699999999999989</v>
      </c>
      <c r="C13" s="19">
        <f t="shared" si="1"/>
        <v>35.33906251669058</v>
      </c>
      <c r="D13" s="20">
        <f t="shared" si="2"/>
        <v>35</v>
      </c>
      <c r="E13" s="24">
        <f t="shared" si="3"/>
        <v>20.343751001434924</v>
      </c>
      <c r="F13" s="26">
        <f t="shared" si="4"/>
        <v>300.9646852839479</v>
      </c>
      <c r="G13" s="26">
        <f t="shared" si="5"/>
        <v>238.62259828080656</v>
      </c>
      <c r="I13">
        <f t="shared" si="6"/>
        <v>228.3653593710004</v>
      </c>
      <c r="J13">
        <f t="shared" si="7"/>
        <v>-1.5372569163357388</v>
      </c>
      <c r="K13">
        <f t="shared" si="8"/>
        <v>-0.7473965486893797</v>
      </c>
      <c r="L13">
        <f t="shared" si="9"/>
        <v>0.5453951247376749</v>
      </c>
      <c r="M13">
        <f t="shared" si="10"/>
        <v>0.9939358758212921</v>
      </c>
      <c r="N13">
        <f t="shared" si="11"/>
        <v>0.815743434715162</v>
      </c>
      <c r="O13">
        <f t="shared" si="12"/>
        <v>0.6167829954843642</v>
      </c>
      <c r="P13">
        <f t="shared" si="13"/>
        <v>-0.6643782047954345</v>
      </c>
      <c r="Q13">
        <f t="shared" si="14"/>
        <v>-1</v>
      </c>
      <c r="R13">
        <f t="shared" si="15"/>
        <v>0.6167829954843642</v>
      </c>
      <c r="S13">
        <f t="shared" si="16"/>
        <v>35.33906251669058</v>
      </c>
      <c r="T13">
        <f t="shared" si="17"/>
        <v>0.5784139077849964</v>
      </c>
      <c r="U13">
        <f t="shared" si="18"/>
        <v>0.815743434715162</v>
      </c>
      <c r="V13">
        <f t="shared" si="19"/>
        <v>0.6167829954843642</v>
      </c>
      <c r="W13">
        <f t="shared" si="20"/>
        <v>0.7127109755687857</v>
      </c>
      <c r="X13">
        <f t="shared" si="21"/>
        <v>0.6561376433696673</v>
      </c>
      <c r="Y13">
        <f t="shared" si="22"/>
        <v>-0.05657333219911842</v>
      </c>
      <c r="Z13">
        <f t="shared" si="23"/>
        <v>-0.0927642497434984</v>
      </c>
      <c r="AA13">
        <f t="shared" si="24"/>
        <v>-0.0927642497434984</v>
      </c>
      <c r="AB13">
        <f t="shared" si="25"/>
        <v>-2.1184352975157514</v>
      </c>
      <c r="AC13">
        <f t="shared" si="26"/>
        <v>-121.37740171919344</v>
      </c>
      <c r="AD13" t="b">
        <f t="shared" si="27"/>
        <v>0</v>
      </c>
      <c r="AE13">
        <f t="shared" si="28"/>
        <v>5.0160780880657985</v>
      </c>
      <c r="AF13" t="b">
        <f t="shared" si="29"/>
        <v>0</v>
      </c>
    </row>
    <row r="14" spans="1:32" ht="12.75">
      <c r="A14" s="15">
        <v>-93.04833333333333</v>
      </c>
      <c r="B14" s="25">
        <f t="shared" si="0"/>
        <v>2.8999999999999204</v>
      </c>
      <c r="C14" s="19">
        <f t="shared" si="1"/>
        <v>32.50905714492885</v>
      </c>
      <c r="D14" s="20">
        <f t="shared" si="2"/>
        <v>32</v>
      </c>
      <c r="E14" s="24">
        <f t="shared" si="3"/>
        <v>30.543428695731194</v>
      </c>
      <c r="F14" s="26">
        <f t="shared" si="4"/>
        <v>301.0206143536245</v>
      </c>
      <c r="G14" s="26">
        <f t="shared" si="5"/>
        <v>235.66142919665197</v>
      </c>
      <c r="I14">
        <f t="shared" si="6"/>
        <v>233.33535937100038</v>
      </c>
      <c r="J14">
        <f t="shared" si="7"/>
        <v>-1.6239997801598571</v>
      </c>
      <c r="K14">
        <f t="shared" si="8"/>
        <v>-0.8021443083952682</v>
      </c>
      <c r="L14">
        <f t="shared" si="9"/>
        <v>0.5853460199970413</v>
      </c>
      <c r="M14">
        <f t="shared" si="10"/>
        <v>0.9454895624247237</v>
      </c>
      <c r="N14">
        <f t="shared" si="11"/>
        <v>0.8433065005656621</v>
      </c>
      <c r="O14">
        <f t="shared" si="12"/>
        <v>0.567390083897996</v>
      </c>
      <c r="P14">
        <f t="shared" si="13"/>
        <v>-0.5971302274287217</v>
      </c>
      <c r="Q14">
        <f t="shared" si="14"/>
        <v>-1</v>
      </c>
      <c r="R14">
        <f t="shared" si="15"/>
        <v>0.567390083897996</v>
      </c>
      <c r="S14">
        <f t="shared" si="16"/>
        <v>32.50905714492885</v>
      </c>
      <c r="T14">
        <f t="shared" si="17"/>
        <v>0.5374329224226003</v>
      </c>
      <c r="U14">
        <f t="shared" si="18"/>
        <v>0.8433065005656623</v>
      </c>
      <c r="V14">
        <f t="shared" si="19"/>
        <v>0.567390083897996</v>
      </c>
      <c r="W14">
        <f t="shared" si="20"/>
        <v>0.6561376433696673</v>
      </c>
      <c r="X14">
        <f t="shared" si="21"/>
        <v>0.5968800672460647</v>
      </c>
      <c r="Y14">
        <f t="shared" si="22"/>
        <v>-0.05925757612360261</v>
      </c>
      <c r="Z14">
        <f t="shared" si="23"/>
        <v>-0.08674286382411833</v>
      </c>
      <c r="AA14">
        <f t="shared" si="24"/>
        <v>-0.08674286382411833</v>
      </c>
      <c r="AB14">
        <f t="shared" si="25"/>
        <v>-2.170117447742514</v>
      </c>
      <c r="AC14">
        <f t="shared" si="26"/>
        <v>-124.33857080334803</v>
      </c>
      <c r="AD14" t="b">
        <f t="shared" si="27"/>
        <v>0</v>
      </c>
      <c r="AE14">
        <f t="shared" si="28"/>
        <v>5.0170102392270755</v>
      </c>
      <c r="AF14" t="b">
        <f t="shared" si="29"/>
        <v>0</v>
      </c>
    </row>
    <row r="15" spans="1:32" ht="12.75">
      <c r="A15" s="15">
        <v>-97.705</v>
      </c>
      <c r="B15" s="25">
        <f t="shared" si="0"/>
        <v>42.2999999999999</v>
      </c>
      <c r="C15" s="19">
        <f t="shared" si="1"/>
        <v>29.49627596377294</v>
      </c>
      <c r="D15" s="20">
        <f t="shared" si="2"/>
        <v>29</v>
      </c>
      <c r="E15" s="24">
        <f t="shared" si="3"/>
        <v>29.776557826376475</v>
      </c>
      <c r="F15" s="26">
        <f t="shared" si="4"/>
        <v>300.9745873846196</v>
      </c>
      <c r="G15" s="26">
        <f t="shared" si="5"/>
        <v>233.08675326142173</v>
      </c>
      <c r="I15">
        <f t="shared" si="6"/>
        <v>237.99202603766707</v>
      </c>
      <c r="J15">
        <f t="shared" si="7"/>
        <v>-1.7052739456610597</v>
      </c>
      <c r="K15">
        <f t="shared" si="8"/>
        <v>-0.8479743380744855</v>
      </c>
      <c r="L15">
        <f t="shared" si="9"/>
        <v>0.618789410654196</v>
      </c>
      <c r="M15">
        <f t="shared" si="10"/>
        <v>0.9035956194270717</v>
      </c>
      <c r="N15">
        <f t="shared" si="11"/>
        <v>0.8703877000047079</v>
      </c>
      <c r="O15">
        <f t="shared" si="12"/>
        <v>0.5148071326447015</v>
      </c>
      <c r="P15">
        <f t="shared" si="13"/>
        <v>-0.5300372835632775</v>
      </c>
      <c r="Q15">
        <f t="shared" si="14"/>
        <v>-1</v>
      </c>
      <c r="R15">
        <f t="shared" si="15"/>
        <v>0.5148071326447015</v>
      </c>
      <c r="S15">
        <f t="shared" si="16"/>
        <v>29.49627596377294</v>
      </c>
      <c r="T15">
        <f t="shared" si="17"/>
        <v>0.49236698882085356</v>
      </c>
      <c r="U15">
        <f t="shared" si="18"/>
        <v>0.8703877000047079</v>
      </c>
      <c r="V15">
        <f t="shared" si="19"/>
        <v>0.5148071326447015</v>
      </c>
      <c r="W15">
        <f t="shared" si="20"/>
        <v>0.5968800672460647</v>
      </c>
      <c r="X15">
        <f t="shared" si="21"/>
        <v>0.535828309230811</v>
      </c>
      <c r="Y15">
        <f t="shared" si="22"/>
        <v>-0.06105175801525364</v>
      </c>
      <c r="Z15">
        <f t="shared" si="23"/>
        <v>-0.08127416550120259</v>
      </c>
      <c r="AA15">
        <f t="shared" si="24"/>
        <v>-0.08127416550120259</v>
      </c>
      <c r="AB15">
        <f t="shared" si="25"/>
        <v>-2.2150540199841458</v>
      </c>
      <c r="AC15">
        <f t="shared" si="26"/>
        <v>-126.91324673857827</v>
      </c>
      <c r="AD15" t="b">
        <f t="shared" si="27"/>
        <v>0</v>
      </c>
      <c r="AE15">
        <f t="shared" si="28"/>
        <v>5.016243123076993</v>
      </c>
      <c r="AF15" t="b">
        <f t="shared" si="29"/>
        <v>0</v>
      </c>
    </row>
    <row r="16" spans="1:32" ht="12.75">
      <c r="A16" s="15">
        <v>-102.08666666666667</v>
      </c>
      <c r="B16" s="25">
        <f t="shared" si="0"/>
        <v>5.2000000000003865</v>
      </c>
      <c r="C16" s="19">
        <f t="shared" si="1"/>
        <v>26.330393924776978</v>
      </c>
      <c r="D16" s="20">
        <f t="shared" si="2"/>
        <v>26</v>
      </c>
      <c r="E16" s="24">
        <f t="shared" si="3"/>
        <v>19.823635486618656</v>
      </c>
      <c r="F16" s="26">
        <f t="shared" si="4"/>
        <v>301.0126963181296</v>
      </c>
      <c r="G16" s="26">
        <f t="shared" si="5"/>
        <v>230.87264745488315</v>
      </c>
      <c r="I16">
        <f t="shared" si="6"/>
        <v>242.37369270433373</v>
      </c>
      <c r="J16">
        <f t="shared" si="7"/>
        <v>-1.781748455719278</v>
      </c>
      <c r="K16">
        <f t="shared" si="8"/>
        <v>-0.8859907639477176</v>
      </c>
      <c r="L16">
        <f t="shared" si="9"/>
        <v>0.6465310069561466</v>
      </c>
      <c r="M16">
        <f t="shared" si="10"/>
        <v>0.8677678883837024</v>
      </c>
      <c r="N16">
        <f t="shared" si="11"/>
        <v>0.8962512664841545</v>
      </c>
      <c r="O16">
        <f t="shared" si="12"/>
        <v>0.4595520673344704</v>
      </c>
      <c r="P16">
        <f t="shared" si="13"/>
        <v>-0.463702885692272</v>
      </c>
      <c r="Q16">
        <f t="shared" si="14"/>
        <v>-1</v>
      </c>
      <c r="R16">
        <f t="shared" si="15"/>
        <v>0.4595520673344704</v>
      </c>
      <c r="S16">
        <f t="shared" si="16"/>
        <v>26.330393924776978</v>
      </c>
      <c r="T16">
        <f t="shared" si="17"/>
        <v>0.44354669125758217</v>
      </c>
      <c r="U16">
        <f t="shared" si="18"/>
        <v>0.8962512664841547</v>
      </c>
      <c r="V16">
        <f t="shared" si="19"/>
        <v>0.4595520673344704</v>
      </c>
      <c r="W16">
        <f t="shared" si="20"/>
        <v>0.535828309230811</v>
      </c>
      <c r="X16">
        <f t="shared" si="21"/>
        <v>0.4736185171508439</v>
      </c>
      <c r="Y16">
        <f t="shared" si="22"/>
        <v>-0.06220979207996713</v>
      </c>
      <c r="Z16">
        <f t="shared" si="23"/>
        <v>-0.07647451005821826</v>
      </c>
      <c r="AA16">
        <f t="shared" si="24"/>
        <v>-0.07647451005821826</v>
      </c>
      <c r="AB16">
        <f t="shared" si="25"/>
        <v>-2.2536974562957686</v>
      </c>
      <c r="AC16">
        <f t="shared" si="26"/>
        <v>-129.12735254511685</v>
      </c>
      <c r="AD16" t="b">
        <f t="shared" si="27"/>
        <v>0</v>
      </c>
      <c r="AE16">
        <f t="shared" si="28"/>
        <v>5.016878271968826</v>
      </c>
      <c r="AF16" t="b">
        <f t="shared" si="29"/>
        <v>0</v>
      </c>
    </row>
    <row r="17" spans="1:32" ht="12.75">
      <c r="A17" s="15">
        <v>-106.23</v>
      </c>
      <c r="B17" s="25">
        <f t="shared" si="0"/>
        <v>13.800000000000239</v>
      </c>
      <c r="C17" s="19">
        <f t="shared" si="1"/>
        <v>23.03896304786928</v>
      </c>
      <c r="D17" s="20">
        <f t="shared" si="2"/>
        <v>23</v>
      </c>
      <c r="E17" s="24">
        <f t="shared" si="3"/>
        <v>2.3377828721568505</v>
      </c>
      <c r="F17" s="26">
        <f t="shared" si="4"/>
        <v>300.96861824121004</v>
      </c>
      <c r="G17" s="26">
        <f t="shared" si="5"/>
        <v>228.99175785892132</v>
      </c>
      <c r="I17">
        <f t="shared" si="6"/>
        <v>246.51702603766705</v>
      </c>
      <c r="J17">
        <f t="shared" si="7"/>
        <v>-1.8540632643935764</v>
      </c>
      <c r="K17">
        <f t="shared" si="8"/>
        <v>-0.9171785263323456</v>
      </c>
      <c r="L17">
        <f t="shared" si="9"/>
        <v>0.6692895460287193</v>
      </c>
      <c r="M17">
        <f t="shared" si="10"/>
        <v>0.8375441459366206</v>
      </c>
      <c r="N17">
        <f t="shared" si="11"/>
        <v>0.9202389303853556</v>
      </c>
      <c r="O17">
        <f t="shared" si="12"/>
        <v>0.40210576143062693</v>
      </c>
      <c r="P17">
        <f t="shared" si="13"/>
        <v>-0.39847653737055416</v>
      </c>
      <c r="Q17">
        <f t="shared" si="14"/>
        <v>-1</v>
      </c>
      <c r="R17">
        <f t="shared" si="15"/>
        <v>0.40210576143062693</v>
      </c>
      <c r="S17">
        <f t="shared" si="16"/>
        <v>23.03896304786928</v>
      </c>
      <c r="T17">
        <f t="shared" si="17"/>
        <v>0.39135701220652297</v>
      </c>
      <c r="U17">
        <f t="shared" si="18"/>
        <v>0.9202389303853556</v>
      </c>
      <c r="V17">
        <f t="shared" si="19"/>
        <v>0.40210576143062693</v>
      </c>
      <c r="W17">
        <f t="shared" si="20"/>
        <v>0.4736185171508439</v>
      </c>
      <c r="X17">
        <f t="shared" si="21"/>
        <v>0.4107379471996927</v>
      </c>
      <c r="Y17">
        <f t="shared" si="22"/>
        <v>-0.06288056995115121</v>
      </c>
      <c r="Z17">
        <f t="shared" si="23"/>
        <v>-0.0723148086742984</v>
      </c>
      <c r="AA17">
        <f t="shared" si="24"/>
        <v>-0.0723148086742984</v>
      </c>
      <c r="AB17">
        <f t="shared" si="25"/>
        <v>-2.2865251726118085</v>
      </c>
      <c r="AC17">
        <f t="shared" si="26"/>
        <v>-131.00824214107868</v>
      </c>
      <c r="AD17" t="b">
        <f t="shared" si="27"/>
        <v>0</v>
      </c>
      <c r="AE17">
        <f t="shared" si="28"/>
        <v>5.0161436373535</v>
      </c>
      <c r="AF17" t="b">
        <f t="shared" si="29"/>
        <v>0</v>
      </c>
    </row>
    <row r="18" spans="1:32" ht="12.75">
      <c r="A18" s="15">
        <v>-110.17333333333333</v>
      </c>
      <c r="B18" s="25">
        <f t="shared" si="0"/>
        <v>10.39999999999992</v>
      </c>
      <c r="C18" s="19">
        <f t="shared" si="1"/>
        <v>19.644240952386053</v>
      </c>
      <c r="D18" s="20">
        <f t="shared" si="2"/>
        <v>19</v>
      </c>
      <c r="E18" s="24">
        <f t="shared" si="3"/>
        <v>38.65445714316316</v>
      </c>
      <c r="F18" s="26">
        <f t="shared" si="4"/>
        <v>301.0188134174325</v>
      </c>
      <c r="G18" s="26">
        <f t="shared" si="5"/>
        <v>227.4178589399247</v>
      </c>
      <c r="I18">
        <f t="shared" si="6"/>
        <v>250.46035937100038</v>
      </c>
      <c r="J18">
        <f t="shared" si="7"/>
        <v>-1.922887414563886</v>
      </c>
      <c r="K18">
        <f t="shared" si="8"/>
        <v>-0.9424103180591271</v>
      </c>
      <c r="L18">
        <f t="shared" si="9"/>
        <v>0.687701855023609</v>
      </c>
      <c r="M18">
        <f t="shared" si="10"/>
        <v>0.8124775581514636</v>
      </c>
      <c r="N18">
        <f t="shared" si="11"/>
        <v>0.9417981529535233</v>
      </c>
      <c r="O18">
        <f t="shared" si="12"/>
        <v>0.34285668367424327</v>
      </c>
      <c r="P18">
        <f t="shared" si="13"/>
        <v>-0.3344589547548319</v>
      </c>
      <c r="Q18">
        <f t="shared" si="14"/>
        <v>-1</v>
      </c>
      <c r="R18">
        <f t="shared" si="15"/>
        <v>0.34285668367424327</v>
      </c>
      <c r="S18">
        <f t="shared" si="16"/>
        <v>19.644240952386053</v>
      </c>
      <c r="T18">
        <f t="shared" si="17"/>
        <v>0.3361788796062772</v>
      </c>
      <c r="U18">
        <f t="shared" si="18"/>
        <v>0.9417981529535233</v>
      </c>
      <c r="V18">
        <f t="shared" si="19"/>
        <v>0.34285668367424327</v>
      </c>
      <c r="W18">
        <f t="shared" si="20"/>
        <v>0.4107379471996927</v>
      </c>
      <c r="X18">
        <f t="shared" si="21"/>
        <v>0.34749047720772047</v>
      </c>
      <c r="Y18">
        <f t="shared" si="22"/>
        <v>-0.06324746999197223</v>
      </c>
      <c r="Z18">
        <f t="shared" si="23"/>
        <v>-0.06882415017030952</v>
      </c>
      <c r="AA18">
        <f t="shared" si="24"/>
        <v>-0.06882415017030952</v>
      </c>
      <c r="AB18">
        <f t="shared" si="25"/>
        <v>-2.3139948908418786</v>
      </c>
      <c r="AC18">
        <f t="shared" si="26"/>
        <v>-132.5821410600753</v>
      </c>
      <c r="AD18" t="b">
        <f t="shared" si="27"/>
        <v>0</v>
      </c>
      <c r="AE18">
        <f t="shared" si="28"/>
        <v>5.016980223623875</v>
      </c>
      <c r="AF18" t="b">
        <f t="shared" si="29"/>
        <v>0</v>
      </c>
    </row>
    <row r="19" spans="1:32" ht="12.75">
      <c r="A19" s="15">
        <v>-113.95</v>
      </c>
      <c r="B19" s="25">
        <f t="shared" si="0"/>
        <v>57.00000000000017</v>
      </c>
      <c r="C19" s="19">
        <f t="shared" si="1"/>
        <v>16.168449262671196</v>
      </c>
      <c r="D19" s="20">
        <f t="shared" si="2"/>
        <v>16</v>
      </c>
      <c r="E19" s="24">
        <f t="shared" si="3"/>
        <v>10.106955760271745</v>
      </c>
      <c r="F19" s="26">
        <f t="shared" si="4"/>
        <v>300.909431301551</v>
      </c>
      <c r="G19" s="26">
        <f t="shared" si="5"/>
        <v>226.12738324507143</v>
      </c>
      <c r="I19">
        <f t="shared" si="6"/>
        <v>254.23702603766708</v>
      </c>
      <c r="J19">
        <f t="shared" si="7"/>
        <v>-1.9888026826475387</v>
      </c>
      <c r="K19">
        <f t="shared" si="8"/>
        <v>-0.9623937472493143</v>
      </c>
      <c r="L19">
        <f t="shared" si="9"/>
        <v>0.7022842943926169</v>
      </c>
      <c r="M19">
        <f t="shared" si="10"/>
        <v>0.7921951425870711</v>
      </c>
      <c r="N19">
        <f t="shared" si="11"/>
        <v>0.9604471705012759</v>
      </c>
      <c r="O19">
        <f t="shared" si="12"/>
        <v>0.28219267457526187</v>
      </c>
      <c r="P19">
        <f t="shared" si="13"/>
        <v>-0.2716583796893135</v>
      </c>
      <c r="Q19">
        <f t="shared" si="14"/>
        <v>-1</v>
      </c>
      <c r="R19">
        <f t="shared" si="15"/>
        <v>0.28219267457526187</v>
      </c>
      <c r="S19">
        <f t="shared" si="16"/>
        <v>16.168449262671196</v>
      </c>
      <c r="T19">
        <f t="shared" si="17"/>
        <v>0.278462264366454</v>
      </c>
      <c r="U19">
        <f t="shared" si="18"/>
        <v>0.9604471705012759</v>
      </c>
      <c r="V19">
        <f t="shared" si="19"/>
        <v>0.28219267457526187</v>
      </c>
      <c r="W19">
        <f t="shared" si="20"/>
        <v>0.34749047720772047</v>
      </c>
      <c r="X19">
        <f t="shared" si="21"/>
        <v>0.2841194457602955</v>
      </c>
      <c r="Y19">
        <f t="shared" si="22"/>
        <v>-0.06337103144742495</v>
      </c>
      <c r="Z19">
        <f t="shared" si="23"/>
        <v>-0.06591526808365278</v>
      </c>
      <c r="AA19">
        <f t="shared" si="24"/>
        <v>-0.06591526808365278</v>
      </c>
      <c r="AB19">
        <f t="shared" si="25"/>
        <v>-2.3365179406340304</v>
      </c>
      <c r="AC19">
        <f t="shared" si="26"/>
        <v>-133.87261675492857</v>
      </c>
      <c r="AD19" t="b">
        <f t="shared" si="27"/>
        <v>0</v>
      </c>
      <c r="AE19">
        <f t="shared" si="28"/>
        <v>5.015157188359184</v>
      </c>
      <c r="AF19" t="b">
        <f t="shared" si="29"/>
        <v>0</v>
      </c>
    </row>
    <row r="20" spans="1:32" ht="12.75">
      <c r="A20" s="15">
        <v>-117.595</v>
      </c>
      <c r="B20" s="25">
        <f t="shared" si="0"/>
        <v>35.69999999999993</v>
      </c>
      <c r="C20" s="19">
        <f t="shared" si="1"/>
        <v>12.62827126669302</v>
      </c>
      <c r="D20" s="20">
        <f t="shared" si="2"/>
        <v>12</v>
      </c>
      <c r="E20" s="24">
        <f t="shared" si="3"/>
        <v>37.69627600158117</v>
      </c>
      <c r="F20" s="26">
        <f t="shared" si="4"/>
        <v>300.91955285771576</v>
      </c>
      <c r="G20" s="26">
        <f t="shared" si="5"/>
        <v>225.09996711622097</v>
      </c>
      <c r="I20">
        <f t="shared" si="6"/>
        <v>257.88202603766706</v>
      </c>
      <c r="J20">
        <f t="shared" si="7"/>
        <v>-2.052419933882732</v>
      </c>
      <c r="K20">
        <f t="shared" si="8"/>
        <v>-0.9777174302934762</v>
      </c>
      <c r="L20">
        <f t="shared" si="9"/>
        <v>0.7134663931592847</v>
      </c>
      <c r="M20">
        <f t="shared" si="10"/>
        <v>0.7763633775806443</v>
      </c>
      <c r="N20">
        <f t="shared" si="11"/>
        <v>0.9758090054429379</v>
      </c>
      <c r="O20">
        <f t="shared" si="12"/>
        <v>0.22040491243878813</v>
      </c>
      <c r="P20">
        <f t="shared" si="13"/>
        <v>-0.20992528790100817</v>
      </c>
      <c r="Q20">
        <f t="shared" si="14"/>
        <v>-1</v>
      </c>
      <c r="R20">
        <f t="shared" si="15"/>
        <v>0.22040491243878813</v>
      </c>
      <c r="S20">
        <f t="shared" si="16"/>
        <v>12.62827126669302</v>
      </c>
      <c r="T20">
        <f t="shared" si="17"/>
        <v>0.21862475819646843</v>
      </c>
      <c r="U20">
        <f t="shared" si="18"/>
        <v>0.9758090054429379</v>
      </c>
      <c r="V20">
        <f t="shared" si="19"/>
        <v>0.22040491243878813</v>
      </c>
      <c r="W20">
        <f t="shared" si="20"/>
        <v>0.2841194457602955</v>
      </c>
      <c r="X20">
        <f t="shared" si="21"/>
        <v>0.22072380117588766</v>
      </c>
      <c r="Y20">
        <f t="shared" si="22"/>
        <v>-0.06339564458440786</v>
      </c>
      <c r="Z20">
        <f t="shared" si="23"/>
        <v>-0.06361725123519335</v>
      </c>
      <c r="AA20">
        <f t="shared" si="24"/>
        <v>-0.06361725123519335</v>
      </c>
      <c r="AB20">
        <f t="shared" si="25"/>
        <v>-2.354449734870565</v>
      </c>
      <c r="AC20">
        <f t="shared" si="26"/>
        <v>-134.90003288377903</v>
      </c>
      <c r="AD20" t="b">
        <f t="shared" si="27"/>
        <v>0</v>
      </c>
      <c r="AE20">
        <f t="shared" si="28"/>
        <v>5.015325880961929</v>
      </c>
      <c r="AF20" t="b">
        <f t="shared" si="29"/>
        <v>0</v>
      </c>
    </row>
    <row r="21" spans="1:32" ht="12.75">
      <c r="A21" s="15">
        <v>-121.14</v>
      </c>
      <c r="B21" s="25">
        <f t="shared" si="0"/>
        <v>8.400000000000034</v>
      </c>
      <c r="C21" s="19">
        <f t="shared" si="1"/>
        <v>9.039719322756296</v>
      </c>
      <c r="D21" s="20">
        <f t="shared" si="2"/>
        <v>9</v>
      </c>
      <c r="E21" s="24">
        <f t="shared" si="3"/>
        <v>2.3831593653777716</v>
      </c>
      <c r="F21" s="26">
        <f t="shared" si="4"/>
        <v>300.941219369186</v>
      </c>
      <c r="G21" s="26">
        <f t="shared" si="5"/>
        <v>224.31862299003745</v>
      </c>
      <c r="I21">
        <f t="shared" si="6"/>
        <v>261.4270260376671</v>
      </c>
      <c r="J21">
        <f t="shared" si="7"/>
        <v>-2.1142918558659307</v>
      </c>
      <c r="K21">
        <f t="shared" si="8"/>
        <v>-0.9888268058736659</v>
      </c>
      <c r="L21">
        <f t="shared" si="9"/>
        <v>0.7215731997680925</v>
      </c>
      <c r="M21">
        <f t="shared" si="10"/>
        <v>0.764724390563099</v>
      </c>
      <c r="N21">
        <f t="shared" si="11"/>
        <v>0.9875796577491328</v>
      </c>
      <c r="O21">
        <f t="shared" si="12"/>
        <v>0.15777286563824933</v>
      </c>
      <c r="P21">
        <f t="shared" si="13"/>
        <v>-0.14906893702473256</v>
      </c>
      <c r="Q21">
        <f t="shared" si="14"/>
        <v>-1</v>
      </c>
      <c r="R21">
        <f t="shared" si="15"/>
        <v>0.15777286563824933</v>
      </c>
      <c r="S21">
        <f t="shared" si="16"/>
        <v>9.039719322756296</v>
      </c>
      <c r="T21">
        <f t="shared" si="17"/>
        <v>0.15711912550706766</v>
      </c>
      <c r="U21">
        <f t="shared" si="18"/>
        <v>0.9875796577491328</v>
      </c>
      <c r="V21">
        <f t="shared" si="19"/>
        <v>0.15777286563824933</v>
      </c>
      <c r="W21">
        <f t="shared" si="20"/>
        <v>0.22072380117588766</v>
      </c>
      <c r="X21">
        <f t="shared" si="21"/>
        <v>0.15736250140925648</v>
      </c>
      <c r="Y21">
        <f t="shared" si="22"/>
        <v>-0.06336129976663119</v>
      </c>
      <c r="Z21">
        <f t="shared" si="23"/>
        <v>-0.061871921983198686</v>
      </c>
      <c r="AA21">
        <f t="shared" si="24"/>
        <v>-0.061871921983198686</v>
      </c>
      <c r="AB21">
        <f t="shared" si="25"/>
        <v>-2.3680867624635855</v>
      </c>
      <c r="AC21">
        <f t="shared" si="26"/>
        <v>-135.68137700996255</v>
      </c>
      <c r="AD21" t="b">
        <f t="shared" si="27"/>
        <v>0</v>
      </c>
      <c r="AE21">
        <f t="shared" si="28"/>
        <v>5.015686989486433</v>
      </c>
      <c r="AF21" t="b">
        <f t="shared" si="29"/>
        <v>0</v>
      </c>
    </row>
    <row r="22" spans="1:32" ht="12.75">
      <c r="A22" s="15">
        <v>-124.615</v>
      </c>
      <c r="B22" s="25">
        <f t="shared" si="0"/>
        <v>36.89999999999969</v>
      </c>
      <c r="C22" s="19">
        <f t="shared" si="1"/>
        <v>5.417479143653823</v>
      </c>
      <c r="D22" s="20">
        <f t="shared" si="2"/>
        <v>5</v>
      </c>
      <c r="E22" s="24">
        <f t="shared" si="3"/>
        <v>25.048748619229393</v>
      </c>
      <c r="F22" s="26">
        <f t="shared" si="4"/>
        <v>300.9683028513147</v>
      </c>
      <c r="G22" s="26">
        <f t="shared" si="5"/>
        <v>223.77043560759208</v>
      </c>
      <c r="I22">
        <f t="shared" si="6"/>
        <v>264.90202603766704</v>
      </c>
      <c r="J22">
        <f t="shared" si="7"/>
        <v>-2.174942047372734</v>
      </c>
      <c r="K22">
        <f t="shared" si="8"/>
        <v>-0.9960442081817688</v>
      </c>
      <c r="L22">
        <f t="shared" si="9"/>
        <v>0.726839930045363</v>
      </c>
      <c r="M22">
        <f t="shared" si="10"/>
        <v>0.7570867535059354</v>
      </c>
      <c r="N22">
        <f t="shared" si="11"/>
        <v>0.9955332087845462</v>
      </c>
      <c r="O22">
        <f t="shared" si="12"/>
        <v>0.09455284821488208</v>
      </c>
      <c r="P22">
        <f t="shared" si="13"/>
        <v>-0.08885907577480967</v>
      </c>
      <c r="Q22">
        <f t="shared" si="14"/>
        <v>-1</v>
      </c>
      <c r="R22">
        <f t="shared" si="15"/>
        <v>0.09455284821488208</v>
      </c>
      <c r="S22">
        <f t="shared" si="16"/>
        <v>5.417479143653823</v>
      </c>
      <c r="T22">
        <f t="shared" si="17"/>
        <v>0.0944120236365321</v>
      </c>
      <c r="U22">
        <f t="shared" si="18"/>
        <v>0.9955332087845462</v>
      </c>
      <c r="V22">
        <f t="shared" si="19"/>
        <v>0.09455284821488208</v>
      </c>
      <c r="W22">
        <f t="shared" si="20"/>
        <v>0.15736250140925648</v>
      </c>
      <c r="X22">
        <f t="shared" si="21"/>
        <v>0.09405170523377201</v>
      </c>
      <c r="Y22">
        <f t="shared" si="22"/>
        <v>-0.06331079617548446</v>
      </c>
      <c r="Z22">
        <f t="shared" si="23"/>
        <v>-0.060650191506803175</v>
      </c>
      <c r="AA22">
        <f t="shared" si="24"/>
        <v>-0.060650191506803175</v>
      </c>
      <c r="AB22">
        <f t="shared" si="25"/>
        <v>-2.3776544372051465</v>
      </c>
      <c r="AC22">
        <f t="shared" si="26"/>
        <v>-136.22956439240792</v>
      </c>
      <c r="AD22" t="b">
        <f t="shared" si="27"/>
        <v>0</v>
      </c>
      <c r="AE22">
        <f t="shared" si="28"/>
        <v>5.016138380855245</v>
      </c>
      <c r="AF22" t="b">
        <f t="shared" si="29"/>
        <v>0</v>
      </c>
    </row>
    <row r="23" spans="1:32" ht="12.75">
      <c r="A23" s="15">
        <v>-128.04833333333335</v>
      </c>
      <c r="B23" s="25">
        <f t="shared" si="0"/>
        <v>2.900000000000773</v>
      </c>
      <c r="C23" s="19">
        <f t="shared" si="1"/>
        <v>1.7757836925009325</v>
      </c>
      <c r="D23" s="20">
        <f t="shared" si="2"/>
        <v>1</v>
      </c>
      <c r="E23" s="24">
        <f t="shared" si="3"/>
        <v>46.54702155005595</v>
      </c>
      <c r="F23" s="26">
        <f t="shared" si="4"/>
        <v>300.95856209087685</v>
      </c>
      <c r="G23" s="26">
        <f t="shared" si="5"/>
        <v>223.44629156286354</v>
      </c>
      <c r="I23">
        <f t="shared" si="6"/>
        <v>268.33535937100044</v>
      </c>
      <c r="J23">
        <f t="shared" si="7"/>
        <v>-2.2348650183578727</v>
      </c>
      <c r="K23">
        <f t="shared" si="8"/>
        <v>-0.9995779779228193</v>
      </c>
      <c r="L23">
        <f t="shared" si="9"/>
        <v>0.7294186157405192</v>
      </c>
      <c r="M23">
        <f t="shared" si="10"/>
        <v>0.7533246547085181</v>
      </c>
      <c r="N23">
        <f t="shared" si="11"/>
        <v>0.9995197469834274</v>
      </c>
      <c r="O23">
        <f t="shared" si="12"/>
        <v>0.03099327223736381</v>
      </c>
      <c r="P23">
        <f t="shared" si="13"/>
        <v>-0.02904937265635532</v>
      </c>
      <c r="Q23">
        <f t="shared" si="14"/>
        <v>-1</v>
      </c>
      <c r="R23">
        <f t="shared" si="15"/>
        <v>0.03099327223736381</v>
      </c>
      <c r="S23">
        <f t="shared" si="16"/>
        <v>1.7757836925009325</v>
      </c>
      <c r="T23">
        <f t="shared" si="17"/>
        <v>0.030988310540997606</v>
      </c>
      <c r="U23">
        <f t="shared" si="18"/>
        <v>0.9995197469834274</v>
      </c>
      <c r="V23">
        <f t="shared" si="19"/>
        <v>0.03099327223736381</v>
      </c>
      <c r="W23">
        <f t="shared" si="20"/>
        <v>0.09405170523377201</v>
      </c>
      <c r="X23">
        <f t="shared" si="21"/>
        <v>0.03078740558986645</v>
      </c>
      <c r="Y23">
        <f t="shared" si="22"/>
        <v>-0.06326429964390556</v>
      </c>
      <c r="Z23">
        <f t="shared" si="23"/>
        <v>-0.05992297098513877</v>
      </c>
      <c r="AA23">
        <f t="shared" si="24"/>
        <v>-0.05992297098513877</v>
      </c>
      <c r="AB23">
        <f t="shared" si="25"/>
        <v>-2.3833118180363915</v>
      </c>
      <c r="AC23">
        <f t="shared" si="26"/>
        <v>-136.55370843713646</v>
      </c>
      <c r="AD23" t="b">
        <f t="shared" si="27"/>
        <v>0</v>
      </c>
      <c r="AE23">
        <f t="shared" si="28"/>
        <v>5.015976034847948</v>
      </c>
      <c r="AF23" t="b">
        <f t="shared" si="29"/>
        <v>0</v>
      </c>
    </row>
    <row r="24" spans="1:32" ht="12.75">
      <c r="A24" s="15">
        <v>-131.46833333333333</v>
      </c>
      <c r="B24" s="25">
        <f t="shared" si="0"/>
        <v>28.100000000000023</v>
      </c>
      <c r="C24" s="19">
        <f t="shared" si="1"/>
        <v>-1.8724628624378339</v>
      </c>
      <c r="D24" s="20">
        <f t="shared" si="2"/>
        <v>-1</v>
      </c>
      <c r="E24" s="24">
        <f t="shared" si="3"/>
        <v>52.347771746270034</v>
      </c>
      <c r="F24" s="26">
        <f t="shared" si="4"/>
        <v>300.97537039859793</v>
      </c>
      <c r="G24" s="26">
        <f t="shared" si="5"/>
        <v>223.3407556030059</v>
      </c>
      <c r="I24">
        <f t="shared" si="6"/>
        <v>271.7553593710004</v>
      </c>
      <c r="J24">
        <f t="shared" si="7"/>
        <v>-2.2945552787760786</v>
      </c>
      <c r="K24">
        <f t="shared" si="8"/>
        <v>-0.9995307299321131</v>
      </c>
      <c r="L24">
        <f t="shared" si="9"/>
        <v>0.7293841376260163</v>
      </c>
      <c r="M24">
        <f t="shared" si="10"/>
        <v>0.7533750549730933</v>
      </c>
      <c r="N24">
        <f t="shared" si="11"/>
        <v>0.9994660353433948</v>
      </c>
      <c r="O24">
        <f t="shared" si="12"/>
        <v>0.03268064207085786</v>
      </c>
      <c r="P24">
        <f t="shared" si="13"/>
        <v>0.030632008118588072</v>
      </c>
      <c r="Q24">
        <f t="shared" si="14"/>
        <v>1</v>
      </c>
      <c r="R24">
        <f t="shared" si="15"/>
        <v>-0.03268064207085786</v>
      </c>
      <c r="S24">
        <f t="shared" si="16"/>
        <v>-1.8724628624378339</v>
      </c>
      <c r="T24">
        <f t="shared" si="17"/>
        <v>-0.03267482509449458</v>
      </c>
      <c r="U24">
        <f t="shared" si="18"/>
        <v>0.9994660353433948</v>
      </c>
      <c r="V24">
        <f t="shared" si="19"/>
        <v>-0.03268064207085786</v>
      </c>
      <c r="W24">
        <f t="shared" si="20"/>
        <v>0.03078740558986645</v>
      </c>
      <c r="X24">
        <f t="shared" si="21"/>
        <v>-0.03246415683767269</v>
      </c>
      <c r="Y24">
        <f t="shared" si="22"/>
        <v>-0.06325156242753914</v>
      </c>
      <c r="Z24">
        <f t="shared" si="23"/>
        <v>-0.05969026041820591</v>
      </c>
      <c r="AA24">
        <f t="shared" si="24"/>
        <v>-0.05969026041820591</v>
      </c>
      <c r="AB24">
        <f t="shared" si="25"/>
        <v>-2.3851537680151598</v>
      </c>
      <c r="AC24">
        <f t="shared" si="26"/>
        <v>-136.6592443969941</v>
      </c>
      <c r="AD24" t="b">
        <f t="shared" si="27"/>
        <v>0</v>
      </c>
      <c r="AE24">
        <f t="shared" si="28"/>
        <v>5.016256173309966</v>
      </c>
      <c r="AF24" t="b">
        <f t="shared" si="29"/>
        <v>0</v>
      </c>
    </row>
    <row r="25" spans="1:32" ht="12.75">
      <c r="A25" s="15">
        <v>-134.90333333333334</v>
      </c>
      <c r="B25" s="25">
        <f t="shared" si="0"/>
        <v>54.20000000000016</v>
      </c>
      <c r="C25" s="19">
        <f t="shared" si="1"/>
        <v>-5.514790038251065</v>
      </c>
      <c r="D25" s="20">
        <f t="shared" si="2"/>
        <v>-5</v>
      </c>
      <c r="E25" s="24">
        <f t="shared" si="3"/>
        <v>30.887402295063904</v>
      </c>
      <c r="F25" s="26">
        <f t="shared" si="4"/>
        <v>301.03958821918457</v>
      </c>
      <c r="G25" s="26">
        <f t="shared" si="5"/>
        <v>223.45208209032228</v>
      </c>
      <c r="I25">
        <f t="shared" si="6"/>
        <v>275.1903593710004</v>
      </c>
      <c r="J25">
        <f t="shared" si="7"/>
        <v>-2.3545073385820836</v>
      </c>
      <c r="K25">
        <f t="shared" si="8"/>
        <v>-0.9958996344213424</v>
      </c>
      <c r="L25">
        <f t="shared" si="9"/>
        <v>0.7267344307301202</v>
      </c>
      <c r="M25">
        <f t="shared" si="10"/>
        <v>0.7572403494324766</v>
      </c>
      <c r="N25">
        <f t="shared" si="11"/>
        <v>0.9953714240737441</v>
      </c>
      <c r="O25">
        <f t="shared" si="12"/>
        <v>0.09625124372366511</v>
      </c>
      <c r="P25">
        <f t="shared" si="13"/>
        <v>0.09046501069162827</v>
      </c>
      <c r="Q25">
        <f t="shared" si="14"/>
        <v>1</v>
      </c>
      <c r="R25">
        <f t="shared" si="15"/>
        <v>-0.09625124372366511</v>
      </c>
      <c r="S25">
        <f t="shared" si="16"/>
        <v>-5.514790038251065</v>
      </c>
      <c r="T25">
        <f t="shared" si="17"/>
        <v>-0.09610269578636503</v>
      </c>
      <c r="U25">
        <f t="shared" si="18"/>
        <v>0.9953714240737441</v>
      </c>
      <c r="V25">
        <f t="shared" si="19"/>
        <v>-0.09625124372366511</v>
      </c>
      <c r="W25">
        <f t="shared" si="20"/>
        <v>-0.03246415683767269</v>
      </c>
      <c r="X25">
        <f t="shared" si="21"/>
        <v>-0.09574635617011695</v>
      </c>
      <c r="Y25">
        <f t="shared" si="22"/>
        <v>-0.06328219933244426</v>
      </c>
      <c r="Z25">
        <f t="shared" si="23"/>
        <v>-0.05995205980600504</v>
      </c>
      <c r="AA25">
        <f t="shared" si="24"/>
        <v>-0.05995205980600504</v>
      </c>
      <c r="AB25">
        <f t="shared" si="25"/>
        <v>-2.383210754266809</v>
      </c>
      <c r="AC25">
        <f t="shared" si="26"/>
        <v>-136.54791790967772</v>
      </c>
      <c r="AD25" t="b">
        <f t="shared" si="27"/>
        <v>0</v>
      </c>
      <c r="AE25">
        <f t="shared" si="28"/>
        <v>5.017326470319743</v>
      </c>
      <c r="AF25" t="b">
        <f t="shared" si="29"/>
        <v>0</v>
      </c>
    </row>
    <row r="26" spans="1:32" ht="12.75">
      <c r="A26" s="15">
        <v>-138.38</v>
      </c>
      <c r="B26" s="25">
        <f t="shared" si="0"/>
        <v>22.799999999999727</v>
      </c>
      <c r="C26" s="19">
        <f t="shared" si="1"/>
        <v>-9.13648728389297</v>
      </c>
      <c r="D26" s="20">
        <f t="shared" si="2"/>
        <v>-9</v>
      </c>
      <c r="E26" s="24">
        <f t="shared" si="3"/>
        <v>8.189237033578216</v>
      </c>
      <c r="F26" s="26">
        <f t="shared" si="4"/>
        <v>300.98227144744527</v>
      </c>
      <c r="G26" s="26">
        <f t="shared" si="5"/>
        <v>223.78217442246628</v>
      </c>
      <c r="I26">
        <f t="shared" si="6"/>
        <v>278.66702603766703</v>
      </c>
      <c r="J26">
        <f t="shared" si="7"/>
        <v>-2.415186618909753</v>
      </c>
      <c r="K26">
        <f t="shared" si="8"/>
        <v>-0.9885807743456578</v>
      </c>
      <c r="L26">
        <f t="shared" si="9"/>
        <v>0.7213936640234565</v>
      </c>
      <c r="M26">
        <f t="shared" si="10"/>
        <v>0.7649836735322189</v>
      </c>
      <c r="N26">
        <f t="shared" si="11"/>
        <v>0.9873128878052638</v>
      </c>
      <c r="O26">
        <f t="shared" si="12"/>
        <v>0.15946178517052623</v>
      </c>
      <c r="P26">
        <f t="shared" si="13"/>
        <v>0.1506919128358905</v>
      </c>
      <c r="Q26">
        <f t="shared" si="14"/>
        <v>1</v>
      </c>
      <c r="R26">
        <f t="shared" si="15"/>
        <v>-0.15946178517052623</v>
      </c>
      <c r="S26">
        <f t="shared" si="16"/>
        <v>-9.13648728389297</v>
      </c>
      <c r="T26">
        <f t="shared" si="17"/>
        <v>-0.15878684320065845</v>
      </c>
      <c r="U26">
        <f t="shared" si="18"/>
        <v>0.9873128878052638</v>
      </c>
      <c r="V26">
        <f t="shared" si="19"/>
        <v>-0.15946178517052623</v>
      </c>
      <c r="W26">
        <f t="shared" si="20"/>
        <v>-0.09574635617011695</v>
      </c>
      <c r="X26">
        <f t="shared" si="21"/>
        <v>-0.15906154406906453</v>
      </c>
      <c r="Y26">
        <f t="shared" si="22"/>
        <v>-0.06331518789894758</v>
      </c>
      <c r="Z26">
        <f t="shared" si="23"/>
        <v>-0.06067928032766945</v>
      </c>
      <c r="AA26">
        <f t="shared" si="24"/>
        <v>-0.06067928032766945</v>
      </c>
      <c r="AB26">
        <f t="shared" si="25"/>
        <v>-2.3774495562353097</v>
      </c>
      <c r="AC26">
        <f t="shared" si="26"/>
        <v>-136.21782557753372</v>
      </c>
      <c r="AD26" t="b">
        <f t="shared" si="27"/>
        <v>0</v>
      </c>
      <c r="AE26">
        <f t="shared" si="28"/>
        <v>5.016371190790754</v>
      </c>
      <c r="AF26" t="b">
        <f t="shared" si="29"/>
        <v>0</v>
      </c>
    </row>
    <row r="27" spans="1:32" ht="12.75">
      <c r="A27" s="15">
        <v>-141.92666666666668</v>
      </c>
      <c r="B27" s="25">
        <f t="shared" si="0"/>
        <v>55.60000000000059</v>
      </c>
      <c r="C27" s="19">
        <f t="shared" si="1"/>
        <v>-12.72332513503862</v>
      </c>
      <c r="D27" s="20">
        <f t="shared" si="2"/>
        <v>-12</v>
      </c>
      <c r="E27" s="24">
        <f t="shared" si="3"/>
        <v>43.399508102317164</v>
      </c>
      <c r="F27" s="26">
        <f t="shared" si="4"/>
        <v>300.88879889959276</v>
      </c>
      <c r="G27" s="26">
        <f t="shared" si="5"/>
        <v>224.33642921114568</v>
      </c>
      <c r="I27">
        <f t="shared" si="6"/>
        <v>282.21369270433377</v>
      </c>
      <c r="J27">
        <f t="shared" si="7"/>
        <v>-2.477087629713819</v>
      </c>
      <c r="K27">
        <f t="shared" si="8"/>
        <v>-0.9773653633890154</v>
      </c>
      <c r="L27">
        <f t="shared" si="9"/>
        <v>0.7132094805824055</v>
      </c>
      <c r="M27">
        <f t="shared" si="10"/>
        <v>0.7767299660060505</v>
      </c>
      <c r="N27">
        <f t="shared" si="11"/>
        <v>0.9754449636314921</v>
      </c>
      <c r="O27">
        <f t="shared" si="12"/>
        <v>0.22206391540817605</v>
      </c>
      <c r="P27">
        <f t="shared" si="13"/>
        <v>0.21155837598038424</v>
      </c>
      <c r="Q27">
        <f t="shared" si="14"/>
        <v>1</v>
      </c>
      <c r="R27">
        <f t="shared" si="15"/>
        <v>-0.22206391540817605</v>
      </c>
      <c r="S27">
        <f t="shared" si="16"/>
        <v>-12.72332513503862</v>
      </c>
      <c r="T27">
        <f t="shared" si="17"/>
        <v>-0.2202433266320616</v>
      </c>
      <c r="U27">
        <f t="shared" si="18"/>
        <v>0.9754449636314921</v>
      </c>
      <c r="V27">
        <f t="shared" si="19"/>
        <v>-0.22206391540817605</v>
      </c>
      <c r="W27">
        <f t="shared" si="20"/>
        <v>-0.15906154406906453</v>
      </c>
      <c r="X27">
        <f t="shared" si="21"/>
        <v>-0.22241323326352502</v>
      </c>
      <c r="Y27">
        <f t="shared" si="22"/>
        <v>-0.06335168919446049</v>
      </c>
      <c r="Z27">
        <f t="shared" si="23"/>
        <v>-0.06190101080406585</v>
      </c>
      <c r="AA27">
        <f t="shared" si="24"/>
        <v>-0.06190101080406585</v>
      </c>
      <c r="AB27">
        <f t="shared" si="25"/>
        <v>-2.3677759852779086</v>
      </c>
      <c r="AC27">
        <f t="shared" si="26"/>
        <v>-135.66357078885432</v>
      </c>
      <c r="AD27" t="b">
        <f t="shared" si="27"/>
        <v>0</v>
      </c>
      <c r="AE27">
        <f t="shared" si="28"/>
        <v>5.014813314993213</v>
      </c>
      <c r="AF27" t="b">
        <f t="shared" si="29"/>
        <v>0</v>
      </c>
    </row>
    <row r="28" spans="1:32" ht="12.75">
      <c r="A28" s="15">
        <v>-145.575</v>
      </c>
      <c r="B28" s="25">
        <f t="shared" si="0"/>
        <v>34.49999999999932</v>
      </c>
      <c r="C28" s="19">
        <f t="shared" si="1"/>
        <v>-16.262231452040403</v>
      </c>
      <c r="D28" s="20">
        <f t="shared" si="2"/>
        <v>-16</v>
      </c>
      <c r="E28" s="24">
        <f t="shared" si="3"/>
        <v>15.733887122424193</v>
      </c>
      <c r="F28" s="26">
        <f t="shared" si="4"/>
        <v>300.9388143277854</v>
      </c>
      <c r="G28" s="26">
        <f t="shared" si="5"/>
        <v>225.12412485974832</v>
      </c>
      <c r="I28">
        <f t="shared" si="6"/>
        <v>285.8620260376671</v>
      </c>
      <c r="J28">
        <f t="shared" si="7"/>
        <v>-2.5407630585907452</v>
      </c>
      <c r="K28">
        <f t="shared" si="8"/>
        <v>-0.9619226704419704</v>
      </c>
      <c r="L28">
        <f t="shared" si="9"/>
        <v>0.7019405371267413</v>
      </c>
      <c r="M28">
        <f t="shared" si="10"/>
        <v>0.7926779029242372</v>
      </c>
      <c r="N28">
        <f t="shared" si="11"/>
        <v>0.959990094861067</v>
      </c>
      <c r="O28">
        <f t="shared" si="12"/>
        <v>0.28382948255948337</v>
      </c>
      <c r="P28">
        <f t="shared" si="13"/>
        <v>0.2733217446340268</v>
      </c>
      <c r="Q28">
        <f t="shared" si="14"/>
        <v>1</v>
      </c>
      <c r="R28">
        <f t="shared" si="15"/>
        <v>-0.28382948255948337</v>
      </c>
      <c r="S28">
        <f t="shared" si="16"/>
        <v>-16.262231452040403</v>
      </c>
      <c r="T28">
        <f t="shared" si="17"/>
        <v>-0.28003395824192384</v>
      </c>
      <c r="U28">
        <f t="shared" si="18"/>
        <v>0.959990094861067</v>
      </c>
      <c r="V28">
        <f t="shared" si="19"/>
        <v>-0.28382948255948337</v>
      </c>
      <c r="W28">
        <f t="shared" si="20"/>
        <v>-0.22241323326352502</v>
      </c>
      <c r="X28">
        <f t="shared" si="21"/>
        <v>-0.2858133668015604</v>
      </c>
      <c r="Y28">
        <f t="shared" si="22"/>
        <v>-0.06340013353803536</v>
      </c>
      <c r="Z28">
        <f t="shared" si="23"/>
        <v>-0.06367542887692634</v>
      </c>
      <c r="AA28">
        <f t="shared" si="24"/>
        <v>-0.06367542887692634</v>
      </c>
      <c r="AB28">
        <f t="shared" si="25"/>
        <v>-2.3540281027061605</v>
      </c>
      <c r="AC28">
        <f t="shared" si="26"/>
        <v>-134.87587514025168</v>
      </c>
      <c r="AD28" t="b">
        <f t="shared" si="27"/>
        <v>0</v>
      </c>
      <c r="AE28">
        <f t="shared" si="28"/>
        <v>5.01564690546309</v>
      </c>
      <c r="AF28" t="b">
        <f t="shared" si="29"/>
        <v>0</v>
      </c>
    </row>
    <row r="29" spans="1:32" ht="12.75">
      <c r="A29" s="15">
        <v>-149.35666666666665</v>
      </c>
      <c r="B29" s="25">
        <f t="shared" si="0"/>
        <v>21.399999999999295</v>
      </c>
      <c r="C29" s="19">
        <f t="shared" si="1"/>
        <v>-19.73698469333132</v>
      </c>
      <c r="D29" s="20">
        <f t="shared" si="2"/>
        <v>-19</v>
      </c>
      <c r="E29" s="24">
        <f t="shared" si="3"/>
        <v>44.219081599879146</v>
      </c>
      <c r="F29" s="26">
        <f t="shared" si="4"/>
        <v>300.98970386337373</v>
      </c>
      <c r="G29" s="26">
        <f t="shared" si="5"/>
        <v>226.1585187367478</v>
      </c>
      <c r="I29">
        <f t="shared" si="6"/>
        <v>289.6436927043337</v>
      </c>
      <c r="J29">
        <f t="shared" si="7"/>
        <v>-2.606765593136997</v>
      </c>
      <c r="K29">
        <f t="shared" si="8"/>
        <v>-0.9418013697165588</v>
      </c>
      <c r="L29">
        <f t="shared" si="9"/>
        <v>0.6872574892343419</v>
      </c>
      <c r="M29">
        <f t="shared" si="10"/>
        <v>0.8130894606557467</v>
      </c>
      <c r="N29">
        <f t="shared" si="11"/>
        <v>0.9412527521188903</v>
      </c>
      <c r="O29">
        <f t="shared" si="12"/>
        <v>0.3444753673143548</v>
      </c>
      <c r="P29">
        <f t="shared" si="13"/>
        <v>0.33616986777522684</v>
      </c>
      <c r="Q29">
        <f t="shared" si="14"/>
        <v>1</v>
      </c>
      <c r="R29">
        <f t="shared" si="15"/>
        <v>-0.3444753673143548</v>
      </c>
      <c r="S29">
        <f t="shared" si="16"/>
        <v>-19.73698469333132</v>
      </c>
      <c r="T29">
        <f t="shared" si="17"/>
        <v>-0.3377029117858106</v>
      </c>
      <c r="U29">
        <f t="shared" si="18"/>
        <v>0.9412527521188903</v>
      </c>
      <c r="V29">
        <f t="shared" si="19"/>
        <v>-0.3444753673143548</v>
      </c>
      <c r="W29">
        <f t="shared" si="20"/>
        <v>-0.2858133668015604</v>
      </c>
      <c r="X29">
        <f t="shared" si="21"/>
        <v>-0.3491993139899083</v>
      </c>
      <c r="Y29">
        <f t="shared" si="22"/>
        <v>-0.06338594718834789</v>
      </c>
      <c r="Z29">
        <f t="shared" si="23"/>
        <v>-0.06600253454625182</v>
      </c>
      <c r="AA29">
        <f t="shared" si="24"/>
        <v>-0.06600253454625182</v>
      </c>
      <c r="AB29">
        <f t="shared" si="25"/>
        <v>-2.33597452379005</v>
      </c>
      <c r="AC29">
        <f t="shared" si="26"/>
        <v>-133.8414812632522</v>
      </c>
      <c r="AD29" t="b">
        <f t="shared" si="27"/>
        <v>0</v>
      </c>
      <c r="AE29">
        <f t="shared" si="28"/>
        <v>5.016495064389562</v>
      </c>
      <c r="AF29" t="b">
        <f t="shared" si="29"/>
        <v>0</v>
      </c>
    </row>
    <row r="30" spans="1:32" ht="12.75">
      <c r="A30" s="15">
        <v>-153.305</v>
      </c>
      <c r="B30" s="25">
        <f t="shared" si="0"/>
        <v>18.30000000000041</v>
      </c>
      <c r="C30" s="19">
        <f t="shared" si="1"/>
        <v>-23.12926296982292</v>
      </c>
      <c r="D30" s="20">
        <f t="shared" si="2"/>
        <v>-23</v>
      </c>
      <c r="E30" s="24">
        <f t="shared" si="3"/>
        <v>7.7557781893752775</v>
      </c>
      <c r="F30" s="26">
        <f t="shared" si="4"/>
        <v>301.02317174176954</v>
      </c>
      <c r="G30" s="26">
        <f t="shared" si="5"/>
        <v>227.45651315437448</v>
      </c>
      <c r="I30">
        <f t="shared" si="6"/>
        <v>293.5920260376671</v>
      </c>
      <c r="J30">
        <f t="shared" si="7"/>
        <v>-2.675677009769907</v>
      </c>
      <c r="K30">
        <f t="shared" si="8"/>
        <v>-0.9164184380220075</v>
      </c>
      <c r="L30">
        <f t="shared" si="9"/>
        <v>0.6687348893882044</v>
      </c>
      <c r="M30">
        <f t="shared" si="10"/>
        <v>0.8382904030982927</v>
      </c>
      <c r="N30">
        <f t="shared" si="11"/>
        <v>0.9196209969976848</v>
      </c>
      <c r="O30">
        <f t="shared" si="12"/>
        <v>0.40368179238301183</v>
      </c>
      <c r="P30">
        <f t="shared" si="13"/>
        <v>0.40022149674062146</v>
      </c>
      <c r="Q30">
        <f t="shared" si="14"/>
        <v>1</v>
      </c>
      <c r="R30">
        <f t="shared" si="15"/>
        <v>-0.40368179238301183</v>
      </c>
      <c r="S30">
        <f t="shared" si="16"/>
        <v>-23.12926296982292</v>
      </c>
      <c r="T30">
        <f t="shared" si="17"/>
        <v>-0.3928068506034284</v>
      </c>
      <c r="U30">
        <f t="shared" si="18"/>
        <v>0.9196209969976848</v>
      </c>
      <c r="V30">
        <f t="shared" si="19"/>
        <v>-0.40368179238301183</v>
      </c>
      <c r="W30">
        <f t="shared" si="20"/>
        <v>-0.3491993139899083</v>
      </c>
      <c r="X30">
        <f t="shared" si="21"/>
        <v>-0.4124412801326646</v>
      </c>
      <c r="Y30">
        <f t="shared" si="22"/>
        <v>-0.06324196614275635</v>
      </c>
      <c r="Z30">
        <f t="shared" si="23"/>
        <v>-0.0689114166329099</v>
      </c>
      <c r="AA30">
        <f t="shared" si="24"/>
        <v>-0.0689114166329099</v>
      </c>
      <c r="AB30">
        <f t="shared" si="25"/>
        <v>-2.3133202475299584</v>
      </c>
      <c r="AC30">
        <f t="shared" si="26"/>
        <v>-132.54348684562552</v>
      </c>
      <c r="AD30" t="b">
        <f t="shared" si="27"/>
        <v>0</v>
      </c>
      <c r="AE30">
        <f t="shared" si="28"/>
        <v>5.017052862362826</v>
      </c>
      <c r="AF30" t="b">
        <f t="shared" si="29"/>
        <v>0</v>
      </c>
    </row>
    <row r="31" spans="1:32" ht="12.75">
      <c r="A31" s="15">
        <v>-157.455</v>
      </c>
      <c r="B31" s="25">
        <f t="shared" si="0"/>
        <v>27.30000000000075</v>
      </c>
      <c r="C31" s="19">
        <f t="shared" si="1"/>
        <v>-26.418175341374194</v>
      </c>
      <c r="D31" s="20">
        <f t="shared" si="2"/>
        <v>-26</v>
      </c>
      <c r="E31" s="24">
        <f t="shared" si="3"/>
        <v>25.090520482451666</v>
      </c>
      <c r="F31" s="26">
        <f t="shared" si="4"/>
        <v>301.0210938656792</v>
      </c>
      <c r="G31" s="26">
        <f t="shared" si="5"/>
        <v>229.03854116670476</v>
      </c>
      <c r="I31">
        <f t="shared" si="6"/>
        <v>297.7420260376671</v>
      </c>
      <c r="J31">
        <f t="shared" si="7"/>
        <v>-2.748108173727672</v>
      </c>
      <c r="K31">
        <f t="shared" si="8"/>
        <v>-0.8850524293483806</v>
      </c>
      <c r="L31">
        <f t="shared" si="9"/>
        <v>0.6458462792613928</v>
      </c>
      <c r="M31">
        <f t="shared" si="10"/>
        <v>0.8686650945600706</v>
      </c>
      <c r="N31">
        <f t="shared" si="11"/>
        <v>0.8955706682035274</v>
      </c>
      <c r="O31">
        <f t="shared" si="12"/>
        <v>0.46108414207615667</v>
      </c>
      <c r="P31">
        <f t="shared" si="13"/>
        <v>0.46549135040785694</v>
      </c>
      <c r="Q31">
        <f t="shared" si="14"/>
        <v>1</v>
      </c>
      <c r="R31">
        <f t="shared" si="15"/>
        <v>-0.46108414207615667</v>
      </c>
      <c r="S31">
        <f t="shared" si="16"/>
        <v>-26.418175341374194</v>
      </c>
      <c r="T31">
        <f t="shared" si="17"/>
        <v>-0.4449192940899366</v>
      </c>
      <c r="U31">
        <f t="shared" si="18"/>
        <v>0.8955706682035274</v>
      </c>
      <c r="V31">
        <f t="shared" si="19"/>
        <v>-0.46108414207615667</v>
      </c>
      <c r="W31">
        <f t="shared" si="20"/>
        <v>-0.4124412801326646</v>
      </c>
      <c r="X31">
        <f t="shared" si="21"/>
        <v>-0.47531924059503605</v>
      </c>
      <c r="Y31">
        <f t="shared" si="22"/>
        <v>-0.06287796046237143</v>
      </c>
      <c r="Z31">
        <f t="shared" si="23"/>
        <v>-0.07243116395776505</v>
      </c>
      <c r="AA31">
        <f t="shared" si="24"/>
        <v>-0.07243116395776505</v>
      </c>
      <c r="AB31">
        <f t="shared" si="25"/>
        <v>-2.2857086498560135</v>
      </c>
      <c r="AC31">
        <f t="shared" si="26"/>
        <v>-130.96145883329524</v>
      </c>
      <c r="AD31" t="b">
        <f t="shared" si="27"/>
        <v>0</v>
      </c>
      <c r="AE31">
        <f t="shared" si="28"/>
        <v>5.017018231094653</v>
      </c>
      <c r="AF31" t="b">
        <f t="shared" si="29"/>
        <v>0</v>
      </c>
    </row>
    <row r="32" spans="1:32" ht="12.75">
      <c r="A32" s="15">
        <v>-161.84166666666667</v>
      </c>
      <c r="B32" s="25">
        <f t="shared" si="0"/>
        <v>50.500000000000114</v>
      </c>
      <c r="C32" s="19">
        <f t="shared" si="1"/>
        <v>-29.578919989061497</v>
      </c>
      <c r="D32" s="20">
        <f t="shared" si="2"/>
        <v>-29</v>
      </c>
      <c r="E32" s="24">
        <f t="shared" si="3"/>
        <v>34.7351993436898</v>
      </c>
      <c r="F32" s="26">
        <f t="shared" si="4"/>
        <v>300.8804441544231</v>
      </c>
      <c r="G32" s="26">
        <f t="shared" si="5"/>
        <v>230.92780556082667</v>
      </c>
      <c r="I32">
        <f t="shared" si="6"/>
        <v>302.12869270433373</v>
      </c>
      <c r="J32">
        <f t="shared" si="7"/>
        <v>-2.8246699502484893</v>
      </c>
      <c r="K32">
        <f t="shared" si="8"/>
        <v>-0.8468557002419749</v>
      </c>
      <c r="L32">
        <f t="shared" si="9"/>
        <v>0.6179731108983726</v>
      </c>
      <c r="M32">
        <f t="shared" si="10"/>
        <v>0.9046343297688345</v>
      </c>
      <c r="N32">
        <f t="shared" si="11"/>
        <v>0.8696765995697257</v>
      </c>
      <c r="O32">
        <f t="shared" si="12"/>
        <v>0.5162495429930882</v>
      </c>
      <c r="P32">
        <f t="shared" si="13"/>
        <v>0.5318227364147513</v>
      </c>
      <c r="Q32">
        <f t="shared" si="14"/>
        <v>1</v>
      </c>
      <c r="R32">
        <f t="shared" si="15"/>
        <v>-0.5162495429930882</v>
      </c>
      <c r="S32">
        <f t="shared" si="16"/>
        <v>-29.578919989061497</v>
      </c>
      <c r="T32">
        <f t="shared" si="17"/>
        <v>-0.49362193241471664</v>
      </c>
      <c r="U32">
        <f t="shared" si="18"/>
        <v>0.8696765995697257</v>
      </c>
      <c r="V32">
        <f t="shared" si="19"/>
        <v>-0.5162495429930882</v>
      </c>
      <c r="W32">
        <f t="shared" si="20"/>
        <v>-0.47531924059503605</v>
      </c>
      <c r="X32">
        <f t="shared" si="21"/>
        <v>-0.5374776385354947</v>
      </c>
      <c r="Y32">
        <f t="shared" si="22"/>
        <v>-0.06215839794045863</v>
      </c>
      <c r="Z32">
        <f t="shared" si="23"/>
        <v>-0.0765617765208173</v>
      </c>
      <c r="AA32">
        <f t="shared" si="24"/>
        <v>-0.0765617765208173</v>
      </c>
      <c r="AB32">
        <f t="shared" si="25"/>
        <v>-2.25273476573789</v>
      </c>
      <c r="AC32">
        <f t="shared" si="26"/>
        <v>-129.07219443917333</v>
      </c>
      <c r="AD32" t="b">
        <f t="shared" si="27"/>
        <v>0</v>
      </c>
      <c r="AE32">
        <f t="shared" si="28"/>
        <v>5.014674069240385</v>
      </c>
      <c r="AF32" t="b">
        <f t="shared" si="29"/>
        <v>0</v>
      </c>
    </row>
    <row r="33" spans="1:32" ht="12.75">
      <c r="A33" s="15">
        <v>-166.50666666666666</v>
      </c>
      <c r="B33" s="25">
        <f t="shared" si="0"/>
        <v>30.399999999999636</v>
      </c>
      <c r="C33" s="19">
        <f t="shared" si="1"/>
        <v>-32.587492924300804</v>
      </c>
      <c r="D33" s="20">
        <f t="shared" si="2"/>
        <v>-32</v>
      </c>
      <c r="E33" s="24">
        <f t="shared" si="3"/>
        <v>35.24957545804824</v>
      </c>
      <c r="F33" s="26">
        <f t="shared" si="4"/>
        <v>301.0028117550564</v>
      </c>
      <c r="G33" s="26">
        <f t="shared" si="5"/>
        <v>233.15087403883734</v>
      </c>
      <c r="I33">
        <f t="shared" si="6"/>
        <v>306.7936927043337</v>
      </c>
      <c r="J33">
        <f t="shared" si="7"/>
        <v>-2.906089559854025</v>
      </c>
      <c r="K33">
        <f t="shared" si="8"/>
        <v>-0.8007973084573409</v>
      </c>
      <c r="L33">
        <f t="shared" si="9"/>
        <v>0.5843630783438375</v>
      </c>
      <c r="M33">
        <f t="shared" si="10"/>
        <v>0.9467013680386948</v>
      </c>
      <c r="N33">
        <f t="shared" si="11"/>
        <v>0.8425699850211206</v>
      </c>
      <c r="O33">
        <f t="shared" si="12"/>
        <v>0.5687590464994043</v>
      </c>
      <c r="P33">
        <f t="shared" si="13"/>
        <v>0.5989354479136122</v>
      </c>
      <c r="Q33">
        <f t="shared" si="14"/>
        <v>1</v>
      </c>
      <c r="R33">
        <f t="shared" si="15"/>
        <v>-0.5687590464994043</v>
      </c>
      <c r="S33">
        <f t="shared" si="16"/>
        <v>-32.587492924300804</v>
      </c>
      <c r="T33">
        <f t="shared" si="17"/>
        <v>-0.5385868735324958</v>
      </c>
      <c r="U33">
        <f t="shared" si="18"/>
        <v>0.8425699850211206</v>
      </c>
      <c r="V33">
        <f t="shared" si="19"/>
        <v>-0.5687590464994043</v>
      </c>
      <c r="W33">
        <f t="shared" si="20"/>
        <v>-0.5374776385354947</v>
      </c>
      <c r="X33">
        <f t="shared" si="21"/>
        <v>-0.5984962373366142</v>
      </c>
      <c r="Y33">
        <f t="shared" si="22"/>
        <v>-0.061018598801119484</v>
      </c>
      <c r="Z33">
        <f t="shared" si="23"/>
        <v>-0.08141960960553574</v>
      </c>
      <c r="AA33">
        <f t="shared" si="24"/>
        <v>-0.08141960960553574</v>
      </c>
      <c r="AB33">
        <f t="shared" si="25"/>
        <v>-2.213934901299305</v>
      </c>
      <c r="AC33">
        <f t="shared" si="26"/>
        <v>-126.84912596116266</v>
      </c>
      <c r="AD33" t="b">
        <f t="shared" si="27"/>
        <v>0</v>
      </c>
      <c r="AE33">
        <f t="shared" si="28"/>
        <v>5.01671352925094</v>
      </c>
      <c r="AF33" t="b">
        <f t="shared" si="29"/>
        <v>0</v>
      </c>
    </row>
    <row r="34" spans="1:32" ht="12.75">
      <c r="A34" s="15">
        <v>-171.485</v>
      </c>
      <c r="B34" s="25">
        <f t="shared" si="0"/>
        <v>29.10000000000082</v>
      </c>
      <c r="C34" s="19">
        <f t="shared" si="1"/>
        <v>-35.411842767948464</v>
      </c>
      <c r="D34" s="20">
        <f t="shared" si="2"/>
        <v>-35</v>
      </c>
      <c r="E34" s="24">
        <f t="shared" si="3"/>
        <v>24.71056607690784</v>
      </c>
      <c r="F34" s="26">
        <f t="shared" si="4"/>
        <v>300.98928208427617</v>
      </c>
      <c r="G34" s="26">
        <f t="shared" si="5"/>
        <v>235.73555026829155</v>
      </c>
      <c r="I34">
        <f t="shared" si="6"/>
        <v>311.77202603766705</v>
      </c>
      <c r="J34">
        <f t="shared" si="7"/>
        <v>-2.9929778677824763</v>
      </c>
      <c r="K34">
        <f t="shared" si="8"/>
        <v>-0.7458013371300413</v>
      </c>
      <c r="L34">
        <f t="shared" si="9"/>
        <v>0.5442310564677397</v>
      </c>
      <c r="M34">
        <f t="shared" si="10"/>
        <v>0.9953240554856949</v>
      </c>
      <c r="N34">
        <f t="shared" si="11"/>
        <v>0.8150080436252853</v>
      </c>
      <c r="O34">
        <f t="shared" si="12"/>
        <v>0.618053250499243</v>
      </c>
      <c r="P34">
        <f t="shared" si="13"/>
        <v>0.6661684212982804</v>
      </c>
      <c r="Q34">
        <f t="shared" si="14"/>
        <v>1</v>
      </c>
      <c r="R34">
        <f t="shared" si="15"/>
        <v>-0.618053250499243</v>
      </c>
      <c r="S34">
        <f t="shared" si="16"/>
        <v>-35.411842767948464</v>
      </c>
      <c r="T34">
        <f t="shared" si="17"/>
        <v>-0.5794496430459551</v>
      </c>
      <c r="U34">
        <f t="shared" si="18"/>
        <v>0.8150080436252854</v>
      </c>
      <c r="V34">
        <f t="shared" si="19"/>
        <v>-0.618053250499243</v>
      </c>
      <c r="W34">
        <f t="shared" si="20"/>
        <v>-0.5984962373366142</v>
      </c>
      <c r="X34">
        <f t="shared" si="21"/>
        <v>-0.6576884574069997</v>
      </c>
      <c r="Y34">
        <f t="shared" si="22"/>
        <v>-0.05919222007038549</v>
      </c>
      <c r="Z34">
        <f t="shared" si="23"/>
        <v>-0.08688830792845126</v>
      </c>
      <c r="AA34">
        <f t="shared" si="24"/>
        <v>-0.08688830792845126</v>
      </c>
      <c r="AB34">
        <f t="shared" si="25"/>
        <v>-2.1688237909972967</v>
      </c>
      <c r="AC34">
        <f t="shared" si="26"/>
        <v>-124.26444973170845</v>
      </c>
      <c r="AD34" t="b">
        <f t="shared" si="27"/>
        <v>0</v>
      </c>
      <c r="AE34">
        <f t="shared" si="28"/>
        <v>5.016488034737936</v>
      </c>
      <c r="AF34" t="b">
        <f t="shared" si="29"/>
        <v>0</v>
      </c>
    </row>
    <row r="35" spans="1:32" ht="12.75">
      <c r="A35" s="15">
        <v>-176.81</v>
      </c>
      <c r="B35" s="25">
        <f t="shared" si="0"/>
        <v>48.600000000000136</v>
      </c>
      <c r="C35" s="19">
        <f t="shared" si="1"/>
        <v>-38.01741333391865</v>
      </c>
      <c r="D35" s="20">
        <f t="shared" si="2"/>
        <v>-38</v>
      </c>
      <c r="E35" s="24">
        <f t="shared" si="3"/>
        <v>1.0448000351188114</v>
      </c>
      <c r="F35" s="26">
        <f t="shared" si="4"/>
        <v>300.9844356328443</v>
      </c>
      <c r="G35" s="26">
        <f t="shared" si="5"/>
        <v>238.7073366584016</v>
      </c>
      <c r="I35">
        <f t="shared" si="6"/>
        <v>317.0970260376671</v>
      </c>
      <c r="J35">
        <f t="shared" si="7"/>
        <v>-3.085916650451174</v>
      </c>
      <c r="K35">
        <f t="shared" si="8"/>
        <v>-0.6807588909993909</v>
      </c>
      <c r="L35">
        <f t="shared" si="9"/>
        <v>0.49676785492784</v>
      </c>
      <c r="M35">
        <f t="shared" si="10"/>
        <v>1.0509257071544598</v>
      </c>
      <c r="N35">
        <f t="shared" si="11"/>
        <v>0.787823605374236</v>
      </c>
      <c r="O35">
        <f t="shared" si="12"/>
        <v>0.6635290357684748</v>
      </c>
      <c r="P35">
        <f t="shared" si="13"/>
        <v>0.7325075646880914</v>
      </c>
      <c r="Q35">
        <f t="shared" si="14"/>
        <v>1</v>
      </c>
      <c r="R35">
        <f t="shared" si="15"/>
        <v>-0.6635290357684748</v>
      </c>
      <c r="S35">
        <f t="shared" si="16"/>
        <v>-38.01741333391865</v>
      </c>
      <c r="T35">
        <f t="shared" si="17"/>
        <v>-0.6159009391250675</v>
      </c>
      <c r="U35">
        <f t="shared" si="18"/>
        <v>0.787823605374236</v>
      </c>
      <c r="V35">
        <f t="shared" si="19"/>
        <v>-0.6635290357684748</v>
      </c>
      <c r="W35">
        <f t="shared" si="20"/>
        <v>-0.6576884574069997</v>
      </c>
      <c r="X35">
        <f t="shared" si="21"/>
        <v>-0.7141798241596119</v>
      </c>
      <c r="Y35">
        <f t="shared" si="22"/>
        <v>-0.05649136675261224</v>
      </c>
      <c r="Z35">
        <f t="shared" si="23"/>
        <v>-0.0929387826686976</v>
      </c>
      <c r="AA35">
        <f t="shared" si="24"/>
        <v>-0.0929387826686976</v>
      </c>
      <c r="AB35">
        <f t="shared" si="25"/>
        <v>-2.1169563338239197</v>
      </c>
      <c r="AC35">
        <f t="shared" si="26"/>
        <v>-121.2926633415984</v>
      </c>
      <c r="AD35" t="b">
        <f t="shared" si="27"/>
        <v>0</v>
      </c>
      <c r="AE35">
        <f t="shared" si="28"/>
        <v>5.016407260547405</v>
      </c>
      <c r="AF35" t="b">
        <f t="shared" si="29"/>
        <v>0</v>
      </c>
    </row>
    <row r="36" spans="1:32" ht="12.75">
      <c r="A36" s="15">
        <v>180</v>
      </c>
      <c r="B36" s="25">
        <f t="shared" si="0"/>
        <v>0</v>
      </c>
      <c r="C36" s="19">
        <f t="shared" si="1"/>
        <v>-39.38579316289572</v>
      </c>
      <c r="D36" s="20">
        <f t="shared" si="2"/>
        <v>-39</v>
      </c>
      <c r="E36" s="24">
        <f t="shared" si="3"/>
        <v>23.14758977374339</v>
      </c>
      <c r="F36" s="26">
        <f t="shared" si="4"/>
        <v>170.98735134322746</v>
      </c>
      <c r="G36" s="26">
        <f t="shared" si="5"/>
        <v>241.30357341307226</v>
      </c>
      <c r="I36">
        <f t="shared" si="6"/>
        <v>39.71297396233294</v>
      </c>
      <c r="J36">
        <f t="shared" si="7"/>
        <v>3.141592653589793</v>
      </c>
      <c r="K36">
        <f t="shared" si="8"/>
        <v>0.6389420227111419</v>
      </c>
      <c r="L36">
        <f t="shared" si="9"/>
        <v>-0.46625297479332245</v>
      </c>
      <c r="M36">
        <f t="shared" si="10"/>
        <v>2.055846758806776</v>
      </c>
      <c r="N36">
        <f t="shared" si="11"/>
        <v>0.77289093503335</v>
      </c>
      <c r="O36">
        <f t="shared" si="12"/>
        <v>0.6874117692020016</v>
      </c>
      <c r="P36">
        <f t="shared" si="13"/>
        <v>0.7692548937860549</v>
      </c>
      <c r="Q36">
        <f t="shared" si="14"/>
        <v>1</v>
      </c>
      <c r="R36">
        <f t="shared" si="15"/>
        <v>-0.6874117692020016</v>
      </c>
      <c r="S36">
        <f t="shared" si="16"/>
        <v>-39.38579316289572</v>
      </c>
      <c r="T36">
        <f t="shared" si="17"/>
        <v>-0.6345388897012332</v>
      </c>
      <c r="U36">
        <f t="shared" si="18"/>
        <v>0.7728909350333502</v>
      </c>
      <c r="V36">
        <f t="shared" si="19"/>
        <v>-0.6874117692020016</v>
      </c>
      <c r="W36">
        <f t="shared" si="20"/>
        <v>-0.7141798241596119</v>
      </c>
      <c r="X36">
        <f t="shared" si="21"/>
        <v>-0.744657032469017</v>
      </c>
      <c r="Y36">
        <f t="shared" si="22"/>
        <v>-0.030477208309405146</v>
      </c>
      <c r="Z36">
        <f t="shared" si="23"/>
        <v>6.227509304040967</v>
      </c>
      <c r="AA36">
        <f t="shared" si="24"/>
        <v>-0.05567600313903309</v>
      </c>
      <c r="AB36">
        <f t="shared" si="25"/>
        <v>-2.0716434542936244</v>
      </c>
      <c r="AC36">
        <f t="shared" si="26"/>
        <v>-118.69642658692774</v>
      </c>
      <c r="AD36" t="b">
        <f t="shared" si="27"/>
        <v>0</v>
      </c>
      <c r="AE36">
        <f t="shared" si="28"/>
        <v>2.849789189053791</v>
      </c>
      <c r="AF36" t="b">
        <f t="shared" si="29"/>
        <v>0</v>
      </c>
    </row>
    <row r="37" spans="1:32" ht="12.75">
      <c r="A37" s="15">
        <v>174.80666666666667</v>
      </c>
      <c r="B37" s="25">
        <f t="shared" si="0"/>
        <v>48.40000000000032</v>
      </c>
      <c r="C37" s="19">
        <f t="shared" si="1"/>
        <v>-41.32673958725985</v>
      </c>
      <c r="D37" s="20">
        <f t="shared" si="2"/>
        <v>-41</v>
      </c>
      <c r="E37" s="24">
        <f t="shared" si="3"/>
        <v>19.60437523559108</v>
      </c>
      <c r="F37" s="26">
        <f t="shared" si="4"/>
        <v>265.29323225529123</v>
      </c>
      <c r="G37" s="26">
        <f t="shared" si="5"/>
        <v>243.96157441370553</v>
      </c>
      <c r="I37">
        <f t="shared" si="6"/>
        <v>34.51964062899961</v>
      </c>
      <c r="J37">
        <f t="shared" si="7"/>
        <v>3.0509518877695543</v>
      </c>
      <c r="K37">
        <f t="shared" si="8"/>
        <v>0.5666887088594742</v>
      </c>
      <c r="L37">
        <f t="shared" si="9"/>
        <v>-0.4135278114380148</v>
      </c>
      <c r="M37">
        <f t="shared" si="10"/>
        <v>1.9971216185789553</v>
      </c>
      <c r="N37">
        <f t="shared" si="11"/>
        <v>0.7509560329891398</v>
      </c>
      <c r="O37">
        <f t="shared" si="12"/>
        <v>0.7212876749119669</v>
      </c>
      <c r="P37">
        <f t="shared" si="13"/>
        <v>0.823931979747832</v>
      </c>
      <c r="Q37">
        <f t="shared" si="14"/>
        <v>1</v>
      </c>
      <c r="R37">
        <f t="shared" si="15"/>
        <v>-0.7212876749119669</v>
      </c>
      <c r="S37">
        <f t="shared" si="16"/>
        <v>-41.32673958725985</v>
      </c>
      <c r="T37">
        <f t="shared" si="17"/>
        <v>-0.6603522064150418</v>
      </c>
      <c r="U37">
        <f t="shared" si="18"/>
        <v>0.7509560329891398</v>
      </c>
      <c r="V37">
        <f t="shared" si="19"/>
        <v>-0.7212876749119669</v>
      </c>
      <c r="W37">
        <f t="shared" si="20"/>
        <v>-0.744657032469017</v>
      </c>
      <c r="X37">
        <f t="shared" si="21"/>
        <v>-0.7889407615024963</v>
      </c>
      <c r="Y37">
        <f t="shared" si="22"/>
        <v>-0.04428372903347921</v>
      </c>
      <c r="Z37">
        <f t="shared" si="23"/>
        <v>-0.09064076582023883</v>
      </c>
      <c r="AA37">
        <f t="shared" si="24"/>
        <v>-0.09064076582023883</v>
      </c>
      <c r="AB37">
        <f t="shared" si="25"/>
        <v>-2.0252525853112697</v>
      </c>
      <c r="AC37">
        <f t="shared" si="26"/>
        <v>-116.03842558629445</v>
      </c>
      <c r="AD37" t="b">
        <f t="shared" si="27"/>
        <v>0</v>
      </c>
      <c r="AE37">
        <f t="shared" si="28"/>
        <v>4.42155387092152</v>
      </c>
      <c r="AF37" t="b">
        <f t="shared" si="29"/>
        <v>0</v>
      </c>
    </row>
    <row r="38" spans="1:32" ht="12.75">
      <c r="A38" s="15"/>
      <c r="B38" s="25">
        <f t="shared" si="0"/>
        <v>0</v>
      </c>
      <c r="C38" s="19">
        <f t="shared" si="1"/>
        <v>0</v>
      </c>
      <c r="D38" s="20">
        <f t="shared" si="2"/>
        <v>0</v>
      </c>
      <c r="E38" s="24">
        <f t="shared" si="3"/>
        <v>0</v>
      </c>
      <c r="F38" s="26">
        <f t="shared" si="4"/>
        <v>0</v>
      </c>
      <c r="G38" s="26">
        <f t="shared" si="5"/>
        <v>0</v>
      </c>
      <c r="I38">
        <f t="shared" si="6"/>
        <v>140.28702603766706</v>
      </c>
      <c r="J38">
        <f t="shared" si="7"/>
        <v>0</v>
      </c>
      <c r="K38">
        <f t="shared" si="8"/>
        <v>0.6389420227111421</v>
      </c>
      <c r="L38">
        <f t="shared" si="9"/>
        <v>-0.4662529747933226</v>
      </c>
      <c r="M38">
        <f t="shared" si="10"/>
        <v>2.0558467588067764</v>
      </c>
      <c r="N38">
        <f t="shared" si="11"/>
        <v>0.7728909350333502</v>
      </c>
      <c r="O38">
        <f t="shared" si="12"/>
        <v>0.6874117692020015</v>
      </c>
      <c r="P38">
        <f t="shared" si="13"/>
        <v>-0.7692548937860548</v>
      </c>
      <c r="Q38">
        <f t="shared" si="14"/>
        <v>-1</v>
      </c>
      <c r="R38">
        <f t="shared" si="15"/>
        <v>0.6874117692020015</v>
      </c>
      <c r="S38">
        <f t="shared" si="16"/>
        <v>39.385793162895716</v>
      </c>
      <c r="T38">
        <f t="shared" si="17"/>
        <v>0.6345388897012331</v>
      </c>
      <c r="U38">
        <f t="shared" si="18"/>
        <v>0.7728909350333502</v>
      </c>
      <c r="V38">
        <f t="shared" si="19"/>
        <v>0.6874117692020015</v>
      </c>
      <c r="W38">
        <f t="shared" si="20"/>
        <v>-0.7889407615024963</v>
      </c>
      <c r="X38">
        <f t="shared" si="21"/>
        <v>0.7446570324692847</v>
      </c>
      <c r="Y38">
        <f t="shared" si="22"/>
        <v>1.533597793971781</v>
      </c>
      <c r="Z38">
        <f t="shared" si="23"/>
        <v>-3.0509518877695543</v>
      </c>
      <c r="AA38">
        <f t="shared" si="24"/>
        <v>-3.0509518877695543</v>
      </c>
      <c r="AB38">
        <f t="shared" si="25"/>
        <v>-1.1050213296296085</v>
      </c>
      <c r="AC38">
        <f t="shared" si="26"/>
        <v>-63.313058459711115</v>
      </c>
      <c r="AD38" t="b">
        <f t="shared" si="27"/>
        <v>0</v>
      </c>
      <c r="AE38">
        <f t="shared" si="28"/>
        <v>179.71447223382702</v>
      </c>
      <c r="AF38" t="b">
        <f t="shared" si="29"/>
        <v>1</v>
      </c>
    </row>
    <row r="39" spans="1:32" ht="12.75">
      <c r="A39" s="15"/>
      <c r="B39" s="25">
        <f t="shared" si="0"/>
        <v>0</v>
      </c>
      <c r="C39" s="19">
        <f t="shared" si="1"/>
        <v>0</v>
      </c>
      <c r="D39" s="20">
        <f t="shared" si="2"/>
        <v>0</v>
      </c>
      <c r="E39" s="24">
        <f t="shared" si="3"/>
        <v>0</v>
      </c>
      <c r="F39" s="26">
        <f t="shared" si="4"/>
        <v>0</v>
      </c>
      <c r="G39" s="26">
        <f t="shared" si="5"/>
        <v>0</v>
      </c>
      <c r="I39">
        <f t="shared" si="6"/>
        <v>140.28702603766706</v>
      </c>
      <c r="J39">
        <f t="shared" si="7"/>
        <v>0</v>
      </c>
      <c r="K39">
        <f t="shared" si="8"/>
        <v>0.6389420227111421</v>
      </c>
      <c r="L39">
        <f t="shared" si="9"/>
        <v>-0.4662529747933226</v>
      </c>
      <c r="M39">
        <f t="shared" si="10"/>
        <v>2.0558467588067764</v>
      </c>
      <c r="N39">
        <f t="shared" si="11"/>
        <v>0.7728909350333502</v>
      </c>
      <c r="O39">
        <f t="shared" si="12"/>
        <v>0.6874117692020015</v>
      </c>
      <c r="P39">
        <f t="shared" si="13"/>
        <v>-0.7692548937860548</v>
      </c>
      <c r="Q39">
        <f t="shared" si="14"/>
        <v>-1</v>
      </c>
      <c r="R39">
        <f t="shared" si="15"/>
        <v>0.6874117692020015</v>
      </c>
      <c r="S39">
        <f t="shared" si="16"/>
        <v>39.385793162895716</v>
      </c>
      <c r="T39">
        <f t="shared" si="17"/>
        <v>0.6345388897012331</v>
      </c>
      <c r="U39">
        <f t="shared" si="18"/>
        <v>0.7728909350333502</v>
      </c>
      <c r="V39">
        <f t="shared" si="19"/>
        <v>0.6874117692020015</v>
      </c>
      <c r="W39">
        <f t="shared" si="20"/>
        <v>0.7446570324692847</v>
      </c>
      <c r="X39">
        <f t="shared" si="21"/>
        <v>0.7446570324692847</v>
      </c>
      <c r="Y39">
        <f t="shared" si="22"/>
        <v>0</v>
      </c>
      <c r="Z39">
        <f t="shared" si="23"/>
        <v>0</v>
      </c>
      <c r="AA39">
        <f t="shared" si="24"/>
        <v>0</v>
      </c>
      <c r="AB39" t="e">
        <f t="shared" si="25"/>
        <v>#DIV/0!</v>
      </c>
      <c r="AC39" t="e">
        <f t="shared" si="26"/>
        <v>#DIV/0!</v>
      </c>
      <c r="AD39" t="e">
        <f t="shared" si="27"/>
        <v>#DIV/0!</v>
      </c>
      <c r="AE39" t="e">
        <f t="shared" si="28"/>
        <v>#DIV/0!</v>
      </c>
      <c r="AF39" t="b">
        <f t="shared" si="29"/>
        <v>1</v>
      </c>
    </row>
    <row r="40" spans="1:32" ht="12.75">
      <c r="A40" s="15"/>
      <c r="B40" s="25">
        <f t="shared" si="0"/>
        <v>0</v>
      </c>
      <c r="C40" s="19">
        <f t="shared" si="1"/>
        <v>0</v>
      </c>
      <c r="D40" s="20">
        <f t="shared" si="2"/>
        <v>0</v>
      </c>
      <c r="E40" s="24">
        <f t="shared" si="3"/>
        <v>0</v>
      </c>
      <c r="F40" s="26">
        <f t="shared" si="4"/>
        <v>0</v>
      </c>
      <c r="G40" s="26">
        <f t="shared" si="5"/>
        <v>0</v>
      </c>
      <c r="I40">
        <f t="shared" si="6"/>
        <v>140.28702603766706</v>
      </c>
      <c r="J40">
        <f t="shared" si="7"/>
        <v>0</v>
      </c>
      <c r="K40">
        <f t="shared" si="8"/>
        <v>0.6389420227111421</v>
      </c>
      <c r="L40">
        <f t="shared" si="9"/>
        <v>-0.4662529747933226</v>
      </c>
      <c r="M40">
        <f t="shared" si="10"/>
        <v>2.0558467588067764</v>
      </c>
      <c r="N40">
        <f t="shared" si="11"/>
        <v>0.7728909350333502</v>
      </c>
      <c r="O40">
        <f t="shared" si="12"/>
        <v>0.6874117692020015</v>
      </c>
      <c r="P40">
        <f t="shared" si="13"/>
        <v>-0.7692548937860548</v>
      </c>
      <c r="Q40">
        <f t="shared" si="14"/>
        <v>-1</v>
      </c>
      <c r="R40">
        <f t="shared" si="15"/>
        <v>0.6874117692020015</v>
      </c>
      <c r="S40">
        <f t="shared" si="16"/>
        <v>39.385793162895716</v>
      </c>
      <c r="T40">
        <f t="shared" si="17"/>
        <v>0.6345388897012331</v>
      </c>
      <c r="U40">
        <f t="shared" si="18"/>
        <v>0.7728909350333502</v>
      </c>
      <c r="V40">
        <f t="shared" si="19"/>
        <v>0.6874117692020015</v>
      </c>
      <c r="W40">
        <f t="shared" si="20"/>
        <v>0.7446570324692847</v>
      </c>
      <c r="X40">
        <f t="shared" si="21"/>
        <v>0.7446570324692847</v>
      </c>
      <c r="Y40">
        <f t="shared" si="22"/>
        <v>0</v>
      </c>
      <c r="Z40">
        <f t="shared" si="23"/>
        <v>0</v>
      </c>
      <c r="AA40">
        <f t="shared" si="24"/>
        <v>0</v>
      </c>
      <c r="AB40" t="e">
        <f t="shared" si="25"/>
        <v>#DIV/0!</v>
      </c>
      <c r="AC40" t="e">
        <f t="shared" si="26"/>
        <v>#DIV/0!</v>
      </c>
      <c r="AD40" t="e">
        <f t="shared" si="27"/>
        <v>#DIV/0!</v>
      </c>
      <c r="AE40" t="e">
        <f t="shared" si="28"/>
        <v>#DIV/0!</v>
      </c>
      <c r="AF40" t="b">
        <f t="shared" si="29"/>
        <v>1</v>
      </c>
    </row>
    <row r="41" spans="1:32" ht="12.75">
      <c r="A41" s="15"/>
      <c r="B41" s="25">
        <f t="shared" si="0"/>
        <v>0</v>
      </c>
      <c r="C41" s="19">
        <f t="shared" si="1"/>
        <v>0</v>
      </c>
      <c r="D41" s="20">
        <f t="shared" si="2"/>
        <v>0</v>
      </c>
      <c r="E41" s="24">
        <f t="shared" si="3"/>
        <v>0</v>
      </c>
      <c r="F41" s="26">
        <f t="shared" si="4"/>
        <v>0</v>
      </c>
      <c r="G41" s="26">
        <f t="shared" si="5"/>
        <v>0</v>
      </c>
      <c r="I41">
        <f t="shared" si="6"/>
        <v>140.28702603766706</v>
      </c>
      <c r="J41">
        <f t="shared" si="7"/>
        <v>0</v>
      </c>
      <c r="K41">
        <f t="shared" si="8"/>
        <v>0.6389420227111421</v>
      </c>
      <c r="L41">
        <f t="shared" si="9"/>
        <v>-0.4662529747933226</v>
      </c>
      <c r="M41">
        <f t="shared" si="10"/>
        <v>2.0558467588067764</v>
      </c>
      <c r="N41">
        <f t="shared" si="11"/>
        <v>0.7728909350333502</v>
      </c>
      <c r="O41">
        <f t="shared" si="12"/>
        <v>0.6874117692020015</v>
      </c>
      <c r="P41">
        <f t="shared" si="13"/>
        <v>-0.7692548937860548</v>
      </c>
      <c r="Q41">
        <f t="shared" si="14"/>
        <v>-1</v>
      </c>
      <c r="R41">
        <f t="shared" si="15"/>
        <v>0.6874117692020015</v>
      </c>
      <c r="S41">
        <f t="shared" si="16"/>
        <v>39.385793162895716</v>
      </c>
      <c r="T41">
        <f t="shared" si="17"/>
        <v>0.6345388897012331</v>
      </c>
      <c r="U41">
        <f t="shared" si="18"/>
        <v>0.7728909350333502</v>
      </c>
      <c r="V41">
        <f t="shared" si="19"/>
        <v>0.6874117692020015</v>
      </c>
      <c r="W41">
        <f t="shared" si="20"/>
        <v>0.7446570324692847</v>
      </c>
      <c r="X41">
        <f t="shared" si="21"/>
        <v>0.7446570324692847</v>
      </c>
      <c r="Y41">
        <f t="shared" si="22"/>
        <v>0</v>
      </c>
      <c r="Z41">
        <f t="shared" si="23"/>
        <v>0</v>
      </c>
      <c r="AA41">
        <f t="shared" si="24"/>
        <v>0</v>
      </c>
      <c r="AB41" t="e">
        <f t="shared" si="25"/>
        <v>#DIV/0!</v>
      </c>
      <c r="AC41" t="e">
        <f t="shared" si="26"/>
        <v>#DIV/0!</v>
      </c>
      <c r="AD41" t="e">
        <f t="shared" si="27"/>
        <v>#DIV/0!</v>
      </c>
      <c r="AE41" t="e">
        <f t="shared" si="28"/>
        <v>#DIV/0!</v>
      </c>
      <c r="AF41" t="b">
        <f t="shared" si="29"/>
        <v>1</v>
      </c>
    </row>
    <row r="42" spans="1:32" ht="12.75">
      <c r="A42" s="15"/>
      <c r="B42" s="25">
        <f t="shared" si="0"/>
        <v>0</v>
      </c>
      <c r="C42" s="19">
        <f t="shared" si="1"/>
        <v>0</v>
      </c>
      <c r="D42" s="20">
        <f t="shared" si="2"/>
        <v>0</v>
      </c>
      <c r="E42" s="24">
        <f t="shared" si="3"/>
        <v>0</v>
      </c>
      <c r="F42" s="26">
        <f t="shared" si="4"/>
        <v>0</v>
      </c>
      <c r="G42" s="26">
        <f t="shared" si="5"/>
        <v>0</v>
      </c>
      <c r="I42">
        <f t="shared" si="6"/>
        <v>140.28702603766706</v>
      </c>
      <c r="J42">
        <f t="shared" si="7"/>
        <v>0</v>
      </c>
      <c r="K42">
        <f t="shared" si="8"/>
        <v>0.6389420227111421</v>
      </c>
      <c r="L42">
        <f t="shared" si="9"/>
        <v>-0.4662529747933226</v>
      </c>
      <c r="M42">
        <f t="shared" si="10"/>
        <v>2.0558467588067764</v>
      </c>
      <c r="N42">
        <f t="shared" si="11"/>
        <v>0.7728909350333502</v>
      </c>
      <c r="O42">
        <f t="shared" si="12"/>
        <v>0.6874117692020015</v>
      </c>
      <c r="P42">
        <f t="shared" si="13"/>
        <v>-0.7692548937860548</v>
      </c>
      <c r="Q42">
        <f t="shared" si="14"/>
        <v>-1</v>
      </c>
      <c r="R42">
        <f t="shared" si="15"/>
        <v>0.6874117692020015</v>
      </c>
      <c r="S42">
        <f t="shared" si="16"/>
        <v>39.385793162895716</v>
      </c>
      <c r="T42">
        <f t="shared" si="17"/>
        <v>0.6345388897012331</v>
      </c>
      <c r="U42">
        <f t="shared" si="18"/>
        <v>0.7728909350333502</v>
      </c>
      <c r="V42">
        <f t="shared" si="19"/>
        <v>0.6874117692020015</v>
      </c>
      <c r="W42">
        <f t="shared" si="20"/>
        <v>0.7446570324692847</v>
      </c>
      <c r="X42">
        <f t="shared" si="21"/>
        <v>0.7446570324692847</v>
      </c>
      <c r="Y42">
        <f t="shared" si="22"/>
        <v>0</v>
      </c>
      <c r="Z42">
        <f t="shared" si="23"/>
        <v>0</v>
      </c>
      <c r="AA42">
        <f t="shared" si="24"/>
        <v>0</v>
      </c>
      <c r="AB42" t="e">
        <f t="shared" si="25"/>
        <v>#DIV/0!</v>
      </c>
      <c r="AC42" t="e">
        <f t="shared" si="26"/>
        <v>#DIV/0!</v>
      </c>
      <c r="AD42" t="e">
        <f t="shared" si="27"/>
        <v>#DIV/0!</v>
      </c>
      <c r="AE42" t="e">
        <f t="shared" si="28"/>
        <v>#DIV/0!</v>
      </c>
      <c r="AF42" t="b">
        <f t="shared" si="29"/>
        <v>1</v>
      </c>
    </row>
    <row r="43" spans="1:32" ht="12.75">
      <c r="A43" s="15"/>
      <c r="B43" s="25">
        <f t="shared" si="0"/>
        <v>0</v>
      </c>
      <c r="C43" s="19">
        <f t="shared" si="1"/>
        <v>0</v>
      </c>
      <c r="D43" s="20">
        <f t="shared" si="2"/>
        <v>0</v>
      </c>
      <c r="E43" s="24">
        <f t="shared" si="3"/>
        <v>0</v>
      </c>
      <c r="F43" s="26">
        <f t="shared" si="4"/>
        <v>0</v>
      </c>
      <c r="G43" s="26">
        <f t="shared" si="5"/>
        <v>0</v>
      </c>
      <c r="I43">
        <f t="shared" si="6"/>
        <v>140.28702603766706</v>
      </c>
      <c r="J43">
        <f t="shared" si="7"/>
        <v>0</v>
      </c>
      <c r="K43">
        <f t="shared" si="8"/>
        <v>0.6389420227111421</v>
      </c>
      <c r="L43">
        <f t="shared" si="9"/>
        <v>-0.4662529747933226</v>
      </c>
      <c r="M43">
        <f t="shared" si="10"/>
        <v>2.0558467588067764</v>
      </c>
      <c r="N43">
        <f t="shared" si="11"/>
        <v>0.7728909350333502</v>
      </c>
      <c r="O43">
        <f t="shared" si="12"/>
        <v>0.6874117692020015</v>
      </c>
      <c r="P43">
        <f t="shared" si="13"/>
        <v>-0.7692548937860548</v>
      </c>
      <c r="Q43">
        <f t="shared" si="14"/>
        <v>-1</v>
      </c>
      <c r="R43">
        <f t="shared" si="15"/>
        <v>0.6874117692020015</v>
      </c>
      <c r="S43">
        <f t="shared" si="16"/>
        <v>39.385793162895716</v>
      </c>
      <c r="T43">
        <f t="shared" si="17"/>
        <v>0.6345388897012331</v>
      </c>
      <c r="U43">
        <f t="shared" si="18"/>
        <v>0.7728909350333502</v>
      </c>
      <c r="V43">
        <f t="shared" si="19"/>
        <v>0.6874117692020015</v>
      </c>
      <c r="W43">
        <f t="shared" si="20"/>
        <v>0.7446570324692847</v>
      </c>
      <c r="X43">
        <f t="shared" si="21"/>
        <v>0.7446570324692847</v>
      </c>
      <c r="Y43">
        <f t="shared" si="22"/>
        <v>0</v>
      </c>
      <c r="Z43">
        <f t="shared" si="23"/>
        <v>0</v>
      </c>
      <c r="AA43">
        <f t="shared" si="24"/>
        <v>0</v>
      </c>
      <c r="AB43" t="e">
        <f t="shared" si="25"/>
        <v>#DIV/0!</v>
      </c>
      <c r="AC43" t="e">
        <f t="shared" si="26"/>
        <v>#DIV/0!</v>
      </c>
      <c r="AD43" t="e">
        <f t="shared" si="27"/>
        <v>#DIV/0!</v>
      </c>
      <c r="AE43" t="e">
        <f t="shared" si="28"/>
        <v>#DIV/0!</v>
      </c>
      <c r="AF43" t="b">
        <f t="shared" si="29"/>
        <v>1</v>
      </c>
    </row>
    <row r="44" spans="1:32" ht="12.75">
      <c r="A44" s="15"/>
      <c r="B44" s="25">
        <f t="shared" si="0"/>
        <v>0</v>
      </c>
      <c r="C44" s="19">
        <f t="shared" si="1"/>
        <v>0</v>
      </c>
      <c r="D44" s="20">
        <f t="shared" si="2"/>
        <v>0</v>
      </c>
      <c r="E44" s="24">
        <f t="shared" si="3"/>
        <v>0</v>
      </c>
      <c r="F44" s="26">
        <f t="shared" si="4"/>
        <v>0</v>
      </c>
      <c r="G44" s="26">
        <f t="shared" si="5"/>
        <v>0</v>
      </c>
      <c r="I44">
        <f t="shared" si="6"/>
        <v>140.28702603766706</v>
      </c>
      <c r="J44">
        <f t="shared" si="7"/>
        <v>0</v>
      </c>
      <c r="K44">
        <f t="shared" si="8"/>
        <v>0.6389420227111421</v>
      </c>
      <c r="L44">
        <f t="shared" si="9"/>
        <v>-0.4662529747933226</v>
      </c>
      <c r="M44">
        <f t="shared" si="10"/>
        <v>2.0558467588067764</v>
      </c>
      <c r="N44">
        <f t="shared" si="11"/>
        <v>0.7728909350333502</v>
      </c>
      <c r="O44">
        <f t="shared" si="12"/>
        <v>0.6874117692020015</v>
      </c>
      <c r="P44">
        <f t="shared" si="13"/>
        <v>-0.7692548937860548</v>
      </c>
      <c r="Q44">
        <f t="shared" si="14"/>
        <v>-1</v>
      </c>
      <c r="R44">
        <f t="shared" si="15"/>
        <v>0.6874117692020015</v>
      </c>
      <c r="S44">
        <f t="shared" si="16"/>
        <v>39.385793162895716</v>
      </c>
      <c r="T44">
        <f t="shared" si="17"/>
        <v>0.6345388897012331</v>
      </c>
      <c r="U44">
        <f t="shared" si="18"/>
        <v>0.7728909350333502</v>
      </c>
      <c r="V44">
        <f t="shared" si="19"/>
        <v>0.6874117692020015</v>
      </c>
      <c r="W44">
        <f t="shared" si="20"/>
        <v>0.7446570324692847</v>
      </c>
      <c r="X44">
        <f t="shared" si="21"/>
        <v>0.7446570324692847</v>
      </c>
      <c r="Y44">
        <f t="shared" si="22"/>
        <v>0</v>
      </c>
      <c r="Z44">
        <f t="shared" si="23"/>
        <v>0</v>
      </c>
      <c r="AA44">
        <f t="shared" si="24"/>
        <v>0</v>
      </c>
      <c r="AB44" t="e">
        <f t="shared" si="25"/>
        <v>#DIV/0!</v>
      </c>
      <c r="AC44" t="e">
        <f t="shared" si="26"/>
        <v>#DIV/0!</v>
      </c>
      <c r="AD44" t="e">
        <f t="shared" si="27"/>
        <v>#DIV/0!</v>
      </c>
      <c r="AE44" t="e">
        <f t="shared" si="28"/>
        <v>#DIV/0!</v>
      </c>
      <c r="AF44" t="b">
        <f t="shared" si="29"/>
        <v>1</v>
      </c>
    </row>
    <row r="45" spans="1:32" ht="12.75">
      <c r="A45" s="15"/>
      <c r="B45" s="25">
        <f t="shared" si="0"/>
        <v>0</v>
      </c>
      <c r="C45" s="19">
        <f t="shared" si="1"/>
        <v>0</v>
      </c>
      <c r="D45" s="20">
        <f t="shared" si="2"/>
        <v>0</v>
      </c>
      <c r="E45" s="24">
        <f t="shared" si="3"/>
        <v>0</v>
      </c>
      <c r="F45" s="26">
        <f t="shared" si="4"/>
        <v>0</v>
      </c>
      <c r="G45" s="26">
        <f t="shared" si="5"/>
        <v>0</v>
      </c>
      <c r="I45">
        <f t="shared" si="6"/>
        <v>140.28702603766706</v>
      </c>
      <c r="J45">
        <f t="shared" si="7"/>
        <v>0</v>
      </c>
      <c r="K45">
        <f t="shared" si="8"/>
        <v>0.6389420227111421</v>
      </c>
      <c r="L45">
        <f t="shared" si="9"/>
        <v>-0.4662529747933226</v>
      </c>
      <c r="M45">
        <f t="shared" si="10"/>
        <v>2.0558467588067764</v>
      </c>
      <c r="N45">
        <f t="shared" si="11"/>
        <v>0.7728909350333502</v>
      </c>
      <c r="O45">
        <f t="shared" si="12"/>
        <v>0.6874117692020015</v>
      </c>
      <c r="P45">
        <f t="shared" si="13"/>
        <v>-0.7692548937860548</v>
      </c>
      <c r="Q45">
        <f t="shared" si="14"/>
        <v>-1</v>
      </c>
      <c r="R45">
        <f t="shared" si="15"/>
        <v>0.6874117692020015</v>
      </c>
      <c r="S45">
        <f t="shared" si="16"/>
        <v>39.385793162895716</v>
      </c>
      <c r="T45">
        <f t="shared" si="17"/>
        <v>0.6345388897012331</v>
      </c>
      <c r="U45">
        <f t="shared" si="18"/>
        <v>0.7728909350333502</v>
      </c>
      <c r="V45">
        <f t="shared" si="19"/>
        <v>0.6874117692020015</v>
      </c>
      <c r="W45">
        <f t="shared" si="20"/>
        <v>0.7446570324692847</v>
      </c>
      <c r="X45">
        <f t="shared" si="21"/>
        <v>0.7446570324692847</v>
      </c>
      <c r="Y45">
        <f t="shared" si="22"/>
        <v>0</v>
      </c>
      <c r="Z45">
        <f t="shared" si="23"/>
        <v>0</v>
      </c>
      <c r="AA45">
        <f t="shared" si="24"/>
        <v>0</v>
      </c>
      <c r="AB45" t="e">
        <f t="shared" si="25"/>
        <v>#DIV/0!</v>
      </c>
      <c r="AC45" t="e">
        <f t="shared" si="26"/>
        <v>#DIV/0!</v>
      </c>
      <c r="AD45" t="e">
        <f t="shared" si="27"/>
        <v>#DIV/0!</v>
      </c>
      <c r="AE45" t="e">
        <f t="shared" si="28"/>
        <v>#DIV/0!</v>
      </c>
      <c r="AF45" t="b">
        <f t="shared" si="29"/>
        <v>1</v>
      </c>
    </row>
    <row r="46" spans="1:32" ht="12.75">
      <c r="A46" s="15"/>
      <c r="B46" s="25">
        <f t="shared" si="0"/>
        <v>0</v>
      </c>
      <c r="C46" s="19">
        <f t="shared" si="1"/>
        <v>0</v>
      </c>
      <c r="D46" s="20">
        <f t="shared" si="2"/>
        <v>0</v>
      </c>
      <c r="E46" s="24">
        <f t="shared" si="3"/>
        <v>0</v>
      </c>
      <c r="F46" s="26">
        <f t="shared" si="4"/>
        <v>0</v>
      </c>
      <c r="G46" s="26">
        <f t="shared" si="5"/>
        <v>0</v>
      </c>
      <c r="I46">
        <f t="shared" si="6"/>
        <v>140.28702603766706</v>
      </c>
      <c r="J46">
        <f t="shared" si="7"/>
        <v>0</v>
      </c>
      <c r="K46">
        <f t="shared" si="8"/>
        <v>0.6389420227111421</v>
      </c>
      <c r="L46">
        <f t="shared" si="9"/>
        <v>-0.4662529747933226</v>
      </c>
      <c r="M46">
        <f t="shared" si="10"/>
        <v>2.0558467588067764</v>
      </c>
      <c r="N46">
        <f t="shared" si="11"/>
        <v>0.7728909350333502</v>
      </c>
      <c r="O46">
        <f t="shared" si="12"/>
        <v>0.6874117692020015</v>
      </c>
      <c r="P46">
        <f t="shared" si="13"/>
        <v>-0.7692548937860548</v>
      </c>
      <c r="Q46">
        <f t="shared" si="14"/>
        <v>-1</v>
      </c>
      <c r="R46">
        <f t="shared" si="15"/>
        <v>0.6874117692020015</v>
      </c>
      <c r="S46">
        <f t="shared" si="16"/>
        <v>39.385793162895716</v>
      </c>
      <c r="T46">
        <f t="shared" si="17"/>
        <v>0.6345388897012331</v>
      </c>
      <c r="U46">
        <f t="shared" si="18"/>
        <v>0.7728909350333502</v>
      </c>
      <c r="V46">
        <f t="shared" si="19"/>
        <v>0.6874117692020015</v>
      </c>
      <c r="W46">
        <f t="shared" si="20"/>
        <v>0.7446570324692847</v>
      </c>
      <c r="X46">
        <f t="shared" si="21"/>
        <v>0.7446570324692847</v>
      </c>
      <c r="Y46">
        <f t="shared" si="22"/>
        <v>0</v>
      </c>
      <c r="Z46">
        <f t="shared" si="23"/>
        <v>0</v>
      </c>
      <c r="AA46">
        <f t="shared" si="24"/>
        <v>0</v>
      </c>
      <c r="AB46" t="e">
        <f t="shared" si="25"/>
        <v>#DIV/0!</v>
      </c>
      <c r="AC46" t="e">
        <f t="shared" si="26"/>
        <v>#DIV/0!</v>
      </c>
      <c r="AD46" t="e">
        <f t="shared" si="27"/>
        <v>#DIV/0!</v>
      </c>
      <c r="AE46" t="e">
        <f t="shared" si="28"/>
        <v>#DIV/0!</v>
      </c>
      <c r="AF46" t="b">
        <f t="shared" si="29"/>
        <v>1</v>
      </c>
    </row>
    <row r="47" spans="1:32" ht="12.75">
      <c r="A47" s="15"/>
      <c r="B47" s="25">
        <f t="shared" si="0"/>
        <v>0</v>
      </c>
      <c r="C47" s="19">
        <f t="shared" si="1"/>
        <v>0</v>
      </c>
      <c r="D47" s="20">
        <f t="shared" si="2"/>
        <v>0</v>
      </c>
      <c r="E47" s="24">
        <f t="shared" si="3"/>
        <v>0</v>
      </c>
      <c r="F47" s="26">
        <f t="shared" si="4"/>
        <v>0</v>
      </c>
      <c r="G47" s="26">
        <f t="shared" si="5"/>
        <v>0</v>
      </c>
      <c r="I47">
        <f t="shared" si="6"/>
        <v>140.28702603766706</v>
      </c>
      <c r="J47">
        <f t="shared" si="7"/>
        <v>0</v>
      </c>
      <c r="K47">
        <f t="shared" si="8"/>
        <v>0.6389420227111421</v>
      </c>
      <c r="L47">
        <f t="shared" si="9"/>
        <v>-0.4662529747933226</v>
      </c>
      <c r="M47">
        <f t="shared" si="10"/>
        <v>2.0558467588067764</v>
      </c>
      <c r="N47">
        <f t="shared" si="11"/>
        <v>0.7728909350333502</v>
      </c>
      <c r="O47">
        <f t="shared" si="12"/>
        <v>0.6874117692020015</v>
      </c>
      <c r="P47">
        <f t="shared" si="13"/>
        <v>-0.7692548937860548</v>
      </c>
      <c r="Q47">
        <f t="shared" si="14"/>
        <v>-1</v>
      </c>
      <c r="R47">
        <f t="shared" si="15"/>
        <v>0.6874117692020015</v>
      </c>
      <c r="S47">
        <f t="shared" si="16"/>
        <v>39.385793162895716</v>
      </c>
      <c r="T47">
        <f t="shared" si="17"/>
        <v>0.6345388897012331</v>
      </c>
      <c r="U47">
        <f t="shared" si="18"/>
        <v>0.7728909350333502</v>
      </c>
      <c r="V47">
        <f t="shared" si="19"/>
        <v>0.6874117692020015</v>
      </c>
      <c r="W47">
        <f t="shared" si="20"/>
        <v>0.7446570324692847</v>
      </c>
      <c r="X47">
        <f t="shared" si="21"/>
        <v>0.7446570324692847</v>
      </c>
      <c r="Y47">
        <f t="shared" si="22"/>
        <v>0</v>
      </c>
      <c r="Z47">
        <f t="shared" si="23"/>
        <v>0</v>
      </c>
      <c r="AA47">
        <f t="shared" si="24"/>
        <v>0</v>
      </c>
      <c r="AB47" t="e">
        <f t="shared" si="25"/>
        <v>#DIV/0!</v>
      </c>
      <c r="AC47" t="e">
        <f t="shared" si="26"/>
        <v>#DIV/0!</v>
      </c>
      <c r="AD47" t="e">
        <f t="shared" si="27"/>
        <v>#DIV/0!</v>
      </c>
      <c r="AE47" t="e">
        <f t="shared" si="28"/>
        <v>#DIV/0!</v>
      </c>
      <c r="AF47" t="b">
        <f t="shared" si="29"/>
        <v>1</v>
      </c>
    </row>
    <row r="48" spans="1:32" ht="12.75">
      <c r="A48" s="15"/>
      <c r="B48" s="25">
        <f t="shared" si="0"/>
        <v>0</v>
      </c>
      <c r="C48" s="19">
        <f t="shared" si="1"/>
        <v>0</v>
      </c>
      <c r="D48" s="20">
        <f t="shared" si="2"/>
        <v>0</v>
      </c>
      <c r="E48" s="24">
        <f t="shared" si="3"/>
        <v>0</v>
      </c>
      <c r="F48" s="26">
        <f t="shared" si="4"/>
        <v>0</v>
      </c>
      <c r="G48" s="26">
        <f t="shared" si="5"/>
        <v>0</v>
      </c>
      <c r="I48">
        <f t="shared" si="6"/>
        <v>140.28702603766706</v>
      </c>
      <c r="J48">
        <f t="shared" si="7"/>
        <v>0</v>
      </c>
      <c r="K48">
        <f t="shared" si="8"/>
        <v>0.6389420227111421</v>
      </c>
      <c r="L48">
        <f t="shared" si="9"/>
        <v>-0.4662529747933226</v>
      </c>
      <c r="M48">
        <f t="shared" si="10"/>
        <v>2.0558467588067764</v>
      </c>
      <c r="N48">
        <f t="shared" si="11"/>
        <v>0.7728909350333502</v>
      </c>
      <c r="O48">
        <f t="shared" si="12"/>
        <v>0.6874117692020015</v>
      </c>
      <c r="P48">
        <f t="shared" si="13"/>
        <v>-0.7692548937860548</v>
      </c>
      <c r="Q48">
        <f t="shared" si="14"/>
        <v>-1</v>
      </c>
      <c r="R48">
        <f t="shared" si="15"/>
        <v>0.6874117692020015</v>
      </c>
      <c r="S48">
        <f t="shared" si="16"/>
        <v>39.385793162895716</v>
      </c>
      <c r="T48">
        <f t="shared" si="17"/>
        <v>0.6345388897012331</v>
      </c>
      <c r="U48">
        <f t="shared" si="18"/>
        <v>0.7728909350333502</v>
      </c>
      <c r="V48">
        <f t="shared" si="19"/>
        <v>0.6874117692020015</v>
      </c>
      <c r="W48">
        <f t="shared" si="20"/>
        <v>0.7446570324692847</v>
      </c>
      <c r="X48">
        <f t="shared" si="21"/>
        <v>0.7446570324692847</v>
      </c>
      <c r="Y48">
        <f t="shared" si="22"/>
        <v>0</v>
      </c>
      <c r="Z48">
        <f t="shared" si="23"/>
        <v>0</v>
      </c>
      <c r="AA48">
        <f t="shared" si="24"/>
        <v>0</v>
      </c>
      <c r="AB48" t="e">
        <f t="shared" si="25"/>
        <v>#DIV/0!</v>
      </c>
      <c r="AC48" t="e">
        <f t="shared" si="26"/>
        <v>#DIV/0!</v>
      </c>
      <c r="AD48" t="e">
        <f t="shared" si="27"/>
        <v>#DIV/0!</v>
      </c>
      <c r="AE48" t="e">
        <f t="shared" si="28"/>
        <v>#DIV/0!</v>
      </c>
      <c r="AF48" t="b">
        <f t="shared" si="29"/>
        <v>1</v>
      </c>
    </row>
    <row r="49" spans="1:32" ht="12.75">
      <c r="A49" s="15"/>
      <c r="B49" s="25">
        <f t="shared" si="0"/>
        <v>0</v>
      </c>
      <c r="C49" s="19">
        <f t="shared" si="1"/>
        <v>0</v>
      </c>
      <c r="D49" s="20">
        <f t="shared" si="2"/>
        <v>0</v>
      </c>
      <c r="E49" s="24">
        <f t="shared" si="3"/>
        <v>0</v>
      </c>
      <c r="F49" s="26">
        <f t="shared" si="4"/>
        <v>0</v>
      </c>
      <c r="G49" s="26">
        <f t="shared" si="5"/>
        <v>0</v>
      </c>
      <c r="I49">
        <f t="shared" si="6"/>
        <v>140.28702603766706</v>
      </c>
      <c r="J49">
        <f t="shared" si="7"/>
        <v>0</v>
      </c>
      <c r="K49">
        <f t="shared" si="8"/>
        <v>0.6389420227111421</v>
      </c>
      <c r="L49">
        <f t="shared" si="9"/>
        <v>-0.4662529747933226</v>
      </c>
      <c r="M49">
        <f t="shared" si="10"/>
        <v>2.0558467588067764</v>
      </c>
      <c r="N49">
        <f t="shared" si="11"/>
        <v>0.7728909350333502</v>
      </c>
      <c r="O49">
        <f t="shared" si="12"/>
        <v>0.6874117692020015</v>
      </c>
      <c r="P49">
        <f t="shared" si="13"/>
        <v>-0.7692548937860548</v>
      </c>
      <c r="Q49">
        <f t="shared" si="14"/>
        <v>-1</v>
      </c>
      <c r="R49">
        <f t="shared" si="15"/>
        <v>0.6874117692020015</v>
      </c>
      <c r="S49">
        <f t="shared" si="16"/>
        <v>39.385793162895716</v>
      </c>
      <c r="T49">
        <f t="shared" si="17"/>
        <v>0.6345388897012331</v>
      </c>
      <c r="U49">
        <f t="shared" si="18"/>
        <v>0.7728909350333502</v>
      </c>
      <c r="V49">
        <f t="shared" si="19"/>
        <v>0.6874117692020015</v>
      </c>
      <c r="W49">
        <f t="shared" si="20"/>
        <v>0.7446570324692847</v>
      </c>
      <c r="X49">
        <f t="shared" si="21"/>
        <v>0.7446570324692847</v>
      </c>
      <c r="Y49">
        <f t="shared" si="22"/>
        <v>0</v>
      </c>
      <c r="Z49">
        <f t="shared" si="23"/>
        <v>0</v>
      </c>
      <c r="AA49">
        <f t="shared" si="24"/>
        <v>0</v>
      </c>
      <c r="AB49" t="e">
        <f t="shared" si="25"/>
        <v>#DIV/0!</v>
      </c>
      <c r="AC49" t="e">
        <f t="shared" si="26"/>
        <v>#DIV/0!</v>
      </c>
      <c r="AD49" t="e">
        <f t="shared" si="27"/>
        <v>#DIV/0!</v>
      </c>
      <c r="AE49" t="e">
        <f t="shared" si="28"/>
        <v>#DIV/0!</v>
      </c>
      <c r="AF49" t="b">
        <f t="shared" si="29"/>
        <v>1</v>
      </c>
    </row>
  </sheetData>
  <sheetProtection sheet="1" objects="1" scenarios="1"/>
  <printOptions/>
  <pageMargins left="0.75" right="0.75" top="1" bottom="1" header="0.5" footer="0.5"/>
  <pageSetup orientation="portrait"/>
  <headerFooter alignWithMargins="0">
    <oddHeader xml:space="preserve">&amp;CGreat-circle vertex and waypoints
Rhumb lines between waypoints </oddHeader>
    <oddFooter>&amp;CCopyright 2009-2011. Navigation Spreadsheets. All rights reserved.</oddFooter>
  </headerFooter>
  <ignoredErrors>
    <ignoredError sqref="B1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2009-04-22T00:03:39Z</dcterms:created>
  <dcterms:modified xsi:type="dcterms:W3CDTF">2017-12-04T03:25:37Z</dcterms:modified>
  <cp:category/>
  <cp:version/>
  <cp:contentType/>
  <cp:contentStatus/>
</cp:coreProperties>
</file>