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60" yWindow="65496" windowWidth="18400" windowHeight="9080" tabRatio="500" activeTab="0"/>
  </bookViews>
  <sheets>
    <sheet name="Main" sheetId="1" r:id="rId1"/>
  </sheets>
  <definedNames/>
  <calcPr fullCalcOnLoad="1"/>
</workbook>
</file>

<file path=xl/sharedStrings.xml><?xml version="1.0" encoding="utf-8"?>
<sst xmlns="http://schemas.openxmlformats.org/spreadsheetml/2006/main" count="120" uniqueCount="72">
  <si>
    <t>Latitude 1</t>
  </si>
  <si>
    <t>Longitude 1</t>
  </si>
  <si>
    <t>Altitude 1</t>
  </si>
  <si>
    <t>Latitude 2</t>
  </si>
  <si>
    <t>Longitude 2</t>
  </si>
  <si>
    <t>Altitude 2</t>
  </si>
  <si>
    <t>Degrees</t>
  </si>
  <si>
    <t>Minutes</t>
  </si>
  <si>
    <t>beta 1</t>
  </si>
  <si>
    <t>gamma 1</t>
  </si>
  <si>
    <t>delta 1</t>
  </si>
  <si>
    <t>beta 2</t>
  </si>
  <si>
    <t>gamma 2</t>
  </si>
  <si>
    <t>delta 2</t>
  </si>
  <si>
    <t>GHA 1</t>
  </si>
  <si>
    <t>GHA 2</t>
  </si>
  <si>
    <t>Declination 1</t>
  </si>
  <si>
    <t>Declination 2</t>
  </si>
  <si>
    <t>x1</t>
  </si>
  <si>
    <t>y1</t>
  </si>
  <si>
    <t>z1</t>
  </si>
  <si>
    <t>x2</t>
  </si>
  <si>
    <t>y2</t>
  </si>
  <si>
    <t>z2</t>
  </si>
  <si>
    <t xml:space="preserve"> Latitude 2</t>
  </si>
  <si>
    <t>#########</t>
  </si>
  <si>
    <t>MHA 1</t>
  </si>
  <si>
    <t>MHA 2</t>
  </si>
  <si>
    <t>Ax</t>
  </si>
  <si>
    <t>Bx</t>
  </si>
  <si>
    <t>Ay</t>
  </si>
  <si>
    <t>By</t>
  </si>
  <si>
    <t>Db</t>
  </si>
  <si>
    <t>Dg</t>
  </si>
  <si>
    <t>Dd</t>
  </si>
  <si>
    <t>a</t>
  </si>
  <si>
    <t>b</t>
  </si>
  <si>
    <t>c</t>
  </si>
  <si>
    <t>ba</t>
  </si>
  <si>
    <t>ca</t>
  </si>
  <si>
    <t>GHA1 &lt; GHA2</t>
  </si>
  <si>
    <t>|D GHA&gt;180|</t>
  </si>
  <si>
    <t>M</t>
  </si>
  <si>
    <t>Discriminant =</t>
  </si>
  <si>
    <t>Meridian =</t>
  </si>
  <si>
    <t>|D GHA| &lt; 1</t>
  </si>
  <si>
    <t>omega x</t>
  </si>
  <si>
    <t>omega y</t>
  </si>
  <si>
    <t>phi0_1</t>
  </si>
  <si>
    <t>theta0_1</t>
  </si>
  <si>
    <t>theta0_2</t>
  </si>
  <si>
    <t>phi0_2</t>
  </si>
  <si>
    <t>x0_1</t>
  </si>
  <si>
    <t>y0_1</t>
  </si>
  <si>
    <t>z0_1</t>
  </si>
  <si>
    <t>x0_2</t>
  </si>
  <si>
    <t>y0_2</t>
  </si>
  <si>
    <t>z0_2</t>
  </si>
  <si>
    <t>xRot_1</t>
  </si>
  <si>
    <t>yRot_1</t>
  </si>
  <si>
    <t>zRot_1</t>
  </si>
  <si>
    <t>xRot_2</t>
  </si>
  <si>
    <t>yRot_2</t>
  </si>
  <si>
    <t>zRot_2</t>
  </si>
  <si>
    <t>DecRot_1</t>
  </si>
  <si>
    <t>EWRot_1</t>
  </si>
  <si>
    <t>DecRot_2</t>
  </si>
  <si>
    <t>EWRot_2</t>
  </si>
  <si>
    <t>Dec 1 =</t>
  </si>
  <si>
    <t>Dec 2 =</t>
  </si>
  <si>
    <t>Pcut =</t>
  </si>
  <si>
    <t>Enter Geographical Positions and observed altitudes (Ho)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</si>
</sst>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  <numFmt numFmtId="165" formatCode="0.0"/>
    <numFmt numFmtId="166" formatCode="00.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Fill="1" applyAlignment="1">
      <alignment horizontal="right"/>
    </xf>
    <xf numFmtId="0" fontId="2" fillId="0" borderId="0" xfId="0" applyFont="1" applyFill="1" applyAlignment="1" applyProtection="1">
      <alignment/>
      <protection/>
    </xf>
    <xf numFmtId="164" fontId="2" fillId="2" borderId="1" xfId="0" applyNumberFormat="1" applyFont="1" applyFill="1" applyBorder="1" applyAlignment="1" applyProtection="1">
      <alignment horizontal="right"/>
      <protection locked="0"/>
    </xf>
    <xf numFmtId="166" fontId="2" fillId="3" borderId="1" xfId="0" applyNumberFormat="1" applyFont="1" applyFill="1" applyBorder="1" applyAlignment="1" applyProtection="1">
      <alignment horizontal="right"/>
      <protection/>
    </xf>
    <xf numFmtId="2" fontId="0" fillId="4" borderId="1" xfId="0" applyNumberFormat="1" applyFill="1" applyBorder="1" applyAlignment="1">
      <alignment horizontal="right"/>
    </xf>
    <xf numFmtId="1" fontId="0" fillId="4" borderId="1" xfId="0" applyNumberFormat="1" applyFill="1" applyBorder="1" applyAlignment="1">
      <alignment horizontal="right"/>
    </xf>
    <xf numFmtId="166" fontId="0" fillId="4" borderId="1" xfId="0" applyNumberForma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="150" zoomScaleNormal="150" workbookViewId="0" topLeftCell="A1">
      <selection activeCell="I29" sqref="I29"/>
    </sheetView>
  </sheetViews>
  <sheetFormatPr defaultColWidth="11.00390625" defaultRowHeight="12.75"/>
  <cols>
    <col min="2" max="2" width="11.375" style="0" bestFit="1" customWidth="1"/>
    <col min="4" max="4" width="11.125" style="0" bestFit="1" customWidth="1"/>
    <col min="5" max="5" width="11.375" style="0" bestFit="1" customWidth="1"/>
  </cols>
  <sheetData>
    <row r="1" ht="12.75">
      <c r="A1" s="1" t="s">
        <v>71</v>
      </c>
    </row>
    <row r="2" spans="1:6" s="3" customFormat="1" ht="12.75">
      <c r="A2" s="3" t="s">
        <v>16</v>
      </c>
      <c r="B2" s="3" t="s">
        <v>14</v>
      </c>
      <c r="C2" s="3" t="s">
        <v>2</v>
      </c>
      <c r="D2" s="3" t="s">
        <v>17</v>
      </c>
      <c r="E2" s="3" t="s">
        <v>15</v>
      </c>
      <c r="F2" s="3" t="s">
        <v>5</v>
      </c>
    </row>
    <row r="3" spans="1:6" s="6" customFormat="1" ht="12.75">
      <c r="A3" s="9">
        <v>16.5733333333333</v>
      </c>
      <c r="B3" s="9">
        <v>112.84333333333333</v>
      </c>
      <c r="C3" s="9">
        <v>27.851666666666667</v>
      </c>
      <c r="D3" s="9">
        <v>-14.803333333333333</v>
      </c>
      <c r="E3" s="9">
        <v>8.075</v>
      </c>
      <c r="F3" s="9">
        <v>30.155</v>
      </c>
    </row>
    <row r="4" spans="1:6" s="8" customFormat="1" ht="12.75">
      <c r="A4" s="10">
        <f aca="true" t="shared" si="0" ref="A4:F4">ABS(A3-TRUNC(A3))*60</f>
        <v>34.39999999999792</v>
      </c>
      <c r="B4" s="10">
        <f t="shared" si="0"/>
        <v>50.60000000000002</v>
      </c>
      <c r="C4" s="10">
        <f t="shared" si="0"/>
        <v>51.099999999999994</v>
      </c>
      <c r="D4" s="10">
        <f t="shared" si="0"/>
        <v>48.19999999999997</v>
      </c>
      <c r="E4" s="10">
        <f t="shared" si="0"/>
        <v>4.499999999999957</v>
      </c>
      <c r="F4" s="10">
        <f t="shared" si="0"/>
        <v>9.300000000000068</v>
      </c>
    </row>
    <row r="6" ht="12.75">
      <c r="A6" s="5" t="str">
        <f>IF(F17&gt;=0,"Retrieve the solutions","ERROR: LOPs do not intersect")</f>
        <v>Retrieve the solutions</v>
      </c>
    </row>
    <row r="7" spans="1:6" s="1" customFormat="1" ht="12.75">
      <c r="A7" s="1" t="s">
        <v>0</v>
      </c>
      <c r="B7" s="1" t="s">
        <v>6</v>
      </c>
      <c r="C7" s="1" t="s">
        <v>7</v>
      </c>
      <c r="D7" s="1" t="s">
        <v>1</v>
      </c>
      <c r="E7" s="1" t="s">
        <v>6</v>
      </c>
      <c r="F7" s="1" t="s">
        <v>7</v>
      </c>
    </row>
    <row r="8" spans="1:6" s="7" customFormat="1" ht="12.75">
      <c r="A8" s="11">
        <f>IF(F15,DEGREES(A62),DEGREES(A53))</f>
        <v>33.09130545901376</v>
      </c>
      <c r="B8" s="12">
        <f>TRUNC(A8)</f>
        <v>33</v>
      </c>
      <c r="C8" s="13">
        <f>ABS((A8-B8)*60)</f>
        <v>5.478327540825632</v>
      </c>
      <c r="D8" s="11">
        <f>IF(F15,C63,C54)</f>
        <v>-45.6646772189945</v>
      </c>
      <c r="E8" s="12">
        <f>TRUNC(D8)</f>
        <v>-45</v>
      </c>
      <c r="F8" s="13">
        <f>ABS((D8-E8)*60)</f>
        <v>39.8806331396699</v>
      </c>
    </row>
    <row r="9" spans="1:6" s="1" customFormat="1" ht="12.75">
      <c r="A9" s="1" t="s">
        <v>3</v>
      </c>
      <c r="B9" s="1" t="s">
        <v>6</v>
      </c>
      <c r="C9" s="1" t="s">
        <v>7</v>
      </c>
      <c r="D9" s="1" t="s">
        <v>4</v>
      </c>
      <c r="E9" s="1" t="s">
        <v>6</v>
      </c>
      <c r="F9" s="1" t="s">
        <v>7</v>
      </c>
    </row>
    <row r="10" spans="1:6" s="7" customFormat="1" ht="12.75">
      <c r="A10" s="11">
        <f>IF(F15,DEGREES(D62),DEGREES(D53))</f>
        <v>-31.249351438268018</v>
      </c>
      <c r="B10" s="12">
        <f>TRUNC(A10)</f>
        <v>-31</v>
      </c>
      <c r="C10" s="13">
        <f>ABS((A10-B10)*60)</f>
        <v>14.961086296081092</v>
      </c>
      <c r="D10" s="11">
        <f>IF(F15,F63,F54)</f>
        <v>-71.4979242882775</v>
      </c>
      <c r="E10" s="12">
        <f>TRUNC(D10)</f>
        <v>-71</v>
      </c>
      <c r="F10" s="13">
        <f>ABS((D10-E10)*60)</f>
        <v>29.875457296650154</v>
      </c>
    </row>
    <row r="12" spans="1:6" s="5" customFormat="1" ht="12.75">
      <c r="A12" s="5" t="s">
        <v>25</v>
      </c>
      <c r="B12" s="5" t="s">
        <v>25</v>
      </c>
      <c r="C12" s="5" t="s">
        <v>25</v>
      </c>
      <c r="D12" s="5" t="s">
        <v>25</v>
      </c>
      <c r="E12" s="5" t="s">
        <v>25</v>
      </c>
      <c r="F12" s="5" t="s">
        <v>25</v>
      </c>
    </row>
    <row r="14" spans="1:6" ht="12.75">
      <c r="A14" t="s">
        <v>41</v>
      </c>
      <c r="B14" t="s">
        <v>40</v>
      </c>
      <c r="C14" t="s">
        <v>14</v>
      </c>
      <c r="D14" t="s">
        <v>15</v>
      </c>
      <c r="E14" t="s">
        <v>42</v>
      </c>
      <c r="F14" t="s">
        <v>45</v>
      </c>
    </row>
    <row r="15" spans="1:6" ht="12.75">
      <c r="A15" t="b">
        <f>ABS(B3-E3)&gt;180</f>
        <v>0</v>
      </c>
      <c r="B15" t="b">
        <f>B3&lt;E3</f>
        <v>0</v>
      </c>
      <c r="C15">
        <f>IF(A15,IF(B15,360+B3,B3),B3)</f>
        <v>112.84333333333333</v>
      </c>
      <c r="D15">
        <f>IF(A15,IF(B15,E3,360+E3),E3)</f>
        <v>8.075</v>
      </c>
      <c r="E15">
        <f>(C15+D15)/2</f>
        <v>60.45916666666667</v>
      </c>
      <c r="F15" t="b">
        <f>ABS(D15-C15)&lt;1</f>
        <v>0</v>
      </c>
    </row>
    <row r="17" spans="1:6" ht="12.75">
      <c r="A17" s="2" t="s">
        <v>44</v>
      </c>
      <c r="B17">
        <f>IF(E15&gt;=360,E15-360,E15)</f>
        <v>60.45916666666667</v>
      </c>
      <c r="C17">
        <f>IF(B17&lt;180,-B17,360-B17)</f>
        <v>-60.45916666666667</v>
      </c>
      <c r="D17">
        <f>RADIANS(C15-E15)</f>
        <v>0.9142761842467962</v>
      </c>
      <c r="E17" s="2" t="s">
        <v>43</v>
      </c>
      <c r="F17">
        <f>E47*E47-F47</f>
        <v>0.2834169721359298</v>
      </c>
    </row>
    <row r="18" spans="1:5" ht="12.75">
      <c r="A18" s="2"/>
      <c r="E18" s="2"/>
    </row>
    <row r="19" spans="1:6" s="2" customFormat="1" ht="12.75">
      <c r="A19" s="2" t="s">
        <v>68</v>
      </c>
      <c r="B19" s="2">
        <f>IF(ABS(A3)&lt;F19,A3,SIGN(A3)*F19)</f>
        <v>16.5733333333333</v>
      </c>
      <c r="C19" s="2" t="s">
        <v>69</v>
      </c>
      <c r="D19" s="2">
        <f>IF(ABS(D3)&lt;F19,D3,SIGN(D3)*F19)</f>
        <v>-14.803333333333333</v>
      </c>
      <c r="E19" s="2" t="s">
        <v>70</v>
      </c>
      <c r="F19" s="2">
        <v>89.999</v>
      </c>
    </row>
    <row r="20" spans="1:5" ht="12.75">
      <c r="A20" s="2"/>
      <c r="E20" s="2"/>
    </row>
    <row r="21" spans="1:6" ht="12.75">
      <c r="A21" t="s">
        <v>25</v>
      </c>
      <c r="B21" t="s">
        <v>25</v>
      </c>
      <c r="C21" t="s">
        <v>25</v>
      </c>
      <c r="D21" t="s">
        <v>25</v>
      </c>
      <c r="E21" t="s">
        <v>25</v>
      </c>
      <c r="F21" t="s">
        <v>25</v>
      </c>
    </row>
    <row r="23" spans="1:6" ht="12.75">
      <c r="A23" s="4" t="s">
        <v>46</v>
      </c>
      <c r="B23" t="s">
        <v>47</v>
      </c>
      <c r="C23" t="s">
        <v>49</v>
      </c>
      <c r="D23" t="s">
        <v>48</v>
      </c>
      <c r="E23" s="4" t="s">
        <v>50</v>
      </c>
      <c r="F23" t="s">
        <v>51</v>
      </c>
    </row>
    <row r="24" spans="1:6" ht="12.75">
      <c r="A24" s="2">
        <f>COS(D17)</f>
        <v>0.6103640849306855</v>
      </c>
      <c r="B24">
        <f>SIN(D17)</f>
        <v>0.7921210032733175</v>
      </c>
      <c r="C24">
        <f>RADIANS(B19)</f>
        <v>0.28925923469719295</v>
      </c>
      <c r="D24">
        <f>-RADIANS(C15-E15)</f>
        <v>-0.9142761842467962</v>
      </c>
      <c r="E24" s="2">
        <f>RADIANS(D19)</f>
        <v>-0.2583669069368939</v>
      </c>
      <c r="F24">
        <f>-RADIANS(D15-E15)</f>
        <v>0.9142761842467964</v>
      </c>
    </row>
    <row r="25" spans="1:5" ht="12.75">
      <c r="A25" s="4"/>
      <c r="E25" s="2"/>
    </row>
    <row r="26" spans="1:6" ht="12.75">
      <c r="A26" s="4" t="s">
        <v>52</v>
      </c>
      <c r="B26" t="s">
        <v>53</v>
      </c>
      <c r="C26" t="s">
        <v>54</v>
      </c>
      <c r="D26" t="s">
        <v>55</v>
      </c>
      <c r="E26" s="4" t="s">
        <v>56</v>
      </c>
      <c r="F26" t="s">
        <v>57</v>
      </c>
    </row>
    <row r="27" spans="1:6" ht="12.75">
      <c r="A27" s="2">
        <f>COS(C24)*COS(D24)</f>
        <v>0.5850067751835996</v>
      </c>
      <c r="B27">
        <f>COS(C24)*SIN(D24)</f>
        <v>-0.7592126816123944</v>
      </c>
      <c r="C27">
        <f>SIN(C24)</f>
        <v>0.2852423128994056</v>
      </c>
      <c r="D27">
        <f>COS(E24)*COS(F24)</f>
        <v>0.5901052011143479</v>
      </c>
      <c r="E27" s="2">
        <f>COS(E24)*SIN(F24)</f>
        <v>0.7658293393795987</v>
      </c>
      <c r="F27">
        <f>SIN(E24)</f>
        <v>-0.25550200500818454</v>
      </c>
    </row>
    <row r="28" spans="1:5" ht="12.75">
      <c r="A28" s="4"/>
      <c r="E28" s="2"/>
    </row>
    <row r="29" spans="1:6" ht="12.75">
      <c r="A29" s="4" t="s">
        <v>58</v>
      </c>
      <c r="B29" t="s">
        <v>59</v>
      </c>
      <c r="C29" t="s">
        <v>60</v>
      </c>
      <c r="D29" t="s">
        <v>61</v>
      </c>
      <c r="E29" s="4" t="s">
        <v>62</v>
      </c>
      <c r="F29" t="s">
        <v>63</v>
      </c>
    </row>
    <row r="30" spans="1:6" ht="12.75">
      <c r="A30" s="2">
        <f>A24*A24*A27+A24*B24*B27+B24*C27</f>
        <v>0.07682154992129064</v>
      </c>
      <c r="B30">
        <f>A24*B24*A27+B24*B24*B27-A24*C27</f>
        <v>-0.3676336063060197</v>
      </c>
      <c r="C30">
        <f>-B24*A27+A24*B27</f>
        <v>-0.926792307360242</v>
      </c>
      <c r="D30">
        <f>A24*A24*D27+A24*B24*E27+B24*F27</f>
        <v>0.3877166965689208</v>
      </c>
      <c r="E30" s="2">
        <f>A24*B24*D27+B24*B24*E27-A24*F27</f>
        <v>0.9217785868643747</v>
      </c>
      <c r="F30">
        <f>-B24*D27+A24*E27</f>
        <v>0</v>
      </c>
    </row>
    <row r="31" spans="1:5" ht="12.75">
      <c r="A31" s="2"/>
      <c r="E31" s="2"/>
    </row>
    <row r="32" spans="1:5" ht="12.75">
      <c r="A32" s="4" t="s">
        <v>64</v>
      </c>
      <c r="B32" t="s">
        <v>65</v>
      </c>
      <c r="D32" t="s">
        <v>66</v>
      </c>
      <c r="E32" s="4" t="s">
        <v>67</v>
      </c>
    </row>
    <row r="33" spans="1:5" ht="12.75">
      <c r="A33" s="2">
        <f>ASIN(C30)</f>
        <v>-1.1857800172737607</v>
      </c>
      <c r="B33">
        <f>ATAN2(A30,B30)</f>
        <v>-1.364798246556729</v>
      </c>
      <c r="D33">
        <f>ASIN(F30)</f>
        <v>0</v>
      </c>
      <c r="E33" s="2">
        <f>ATAN2(D30,E30)</f>
        <v>1.17264309118369</v>
      </c>
    </row>
    <row r="34" spans="1:5" ht="12.75">
      <c r="A34" s="4"/>
      <c r="E34" s="2"/>
    </row>
    <row r="35" spans="1:6" ht="12.75">
      <c r="A35" t="s">
        <v>25</v>
      </c>
      <c r="B35" t="s">
        <v>25</v>
      </c>
      <c r="C35" t="s">
        <v>25</v>
      </c>
      <c r="D35" t="s">
        <v>25</v>
      </c>
      <c r="E35" t="s">
        <v>25</v>
      </c>
      <c r="F35" t="s">
        <v>25</v>
      </c>
    </row>
    <row r="37" spans="1:6" ht="12.75">
      <c r="A37" t="s">
        <v>16</v>
      </c>
      <c r="B37" t="s">
        <v>26</v>
      </c>
      <c r="C37" t="s">
        <v>2</v>
      </c>
      <c r="D37" t="s">
        <v>17</v>
      </c>
      <c r="E37" t="s">
        <v>27</v>
      </c>
      <c r="F37" t="s">
        <v>5</v>
      </c>
    </row>
    <row r="38" spans="1:6" ht="12.75">
      <c r="A38">
        <f>IF(F15,A33,RADIANS(B19))</f>
        <v>0.28925923469719295</v>
      </c>
      <c r="B38">
        <f>IF(F15,B33,-RADIANS(C15-E15))</f>
        <v>-0.9142761842467962</v>
      </c>
      <c r="C38">
        <f>RADIANS(C3)</f>
        <v>0.48610328550128734</v>
      </c>
      <c r="D38">
        <f>IF(F15,D33,RADIANS(D19))</f>
        <v>-0.2583669069368939</v>
      </c>
      <c r="E38">
        <f>IF(F15,E33,-RADIANS(D15-E15))</f>
        <v>0.9142761842467964</v>
      </c>
      <c r="F38">
        <f>RADIANS(F3)</f>
        <v>0.5263040359388901</v>
      </c>
    </row>
    <row r="40" spans="1:6" ht="12.75">
      <c r="A40" t="s">
        <v>8</v>
      </c>
      <c r="B40" t="s">
        <v>9</v>
      </c>
      <c r="C40" t="s">
        <v>10</v>
      </c>
      <c r="D40" t="s">
        <v>11</v>
      </c>
      <c r="E40" t="s">
        <v>12</v>
      </c>
      <c r="F40" t="s">
        <v>13</v>
      </c>
    </row>
    <row r="41" spans="1:6" ht="12.75">
      <c r="A41">
        <f>TAN(B38)</f>
        <v>-1.297784425443828</v>
      </c>
      <c r="B41">
        <f>TAN(A38)/COS(B38)</f>
        <v>0.48758805025785323</v>
      </c>
      <c r="C41">
        <f>SIN(C38)/COS(A38)/COS(B38)</f>
        <v>0.7985960921654187</v>
      </c>
      <c r="D41">
        <f>TAN(E38)</f>
        <v>1.2977844254438282</v>
      </c>
      <c r="E41">
        <f>TAN(D38)/COS(E38)</f>
        <v>-0.432977042950473</v>
      </c>
      <c r="F41">
        <f>SIN(F38)/COS(D38)/COS(E38)</f>
        <v>0.8512736216615157</v>
      </c>
    </row>
    <row r="43" spans="1:6" ht="12.75">
      <c r="A43" t="s">
        <v>32</v>
      </c>
      <c r="B43" t="s">
        <v>33</v>
      </c>
      <c r="C43" t="s">
        <v>34</v>
      </c>
      <c r="D43" t="s">
        <v>35</v>
      </c>
      <c r="E43" t="s">
        <v>36</v>
      </c>
      <c r="F43" t="s">
        <v>37</v>
      </c>
    </row>
    <row r="44" spans="1:6" ht="12.75">
      <c r="A44">
        <f>D41-A41</f>
        <v>2.5955688508876564</v>
      </c>
      <c r="B44">
        <f>E41-B41</f>
        <v>-0.9205650932083262</v>
      </c>
      <c r="C44">
        <f>F41-C41</f>
        <v>0.05267752949609694</v>
      </c>
      <c r="D44">
        <f>B47*B47+D47*D47+1</f>
        <v>1.1265349479597733</v>
      </c>
      <c r="E44">
        <f>A47*B47+C47*D47</f>
        <v>-0.015327212817171657</v>
      </c>
      <c r="F44">
        <f>A47*A47+C47*C47-1</f>
        <v>-0.3190705876357609</v>
      </c>
    </row>
    <row r="46" spans="1:6" ht="12.75">
      <c r="A46" t="s">
        <v>28</v>
      </c>
      <c r="B46" t="s">
        <v>29</v>
      </c>
      <c r="C46" t="s">
        <v>30</v>
      </c>
      <c r="D46" t="s">
        <v>31</v>
      </c>
      <c r="E46" t="s">
        <v>38</v>
      </c>
      <c r="F46" t="s">
        <v>39</v>
      </c>
    </row>
    <row r="47" spans="1:6" ht="12.75">
      <c r="A47">
        <f>C41-A41*C44/A44</f>
        <v>0.8249348569134671</v>
      </c>
      <c r="B47">
        <f>-A41*D47-B41</f>
        <v>-0.027305503653690222</v>
      </c>
      <c r="C47">
        <f>C44/A44</f>
        <v>0.020295177096951906</v>
      </c>
      <c r="D47">
        <f>-B44/A44</f>
        <v>0.3546679537680162</v>
      </c>
      <c r="E47">
        <f>E44/D44</f>
        <v>-0.013605625679815986</v>
      </c>
      <c r="F47">
        <f>F44/D44</f>
        <v>-0.28323185908579057</v>
      </c>
    </row>
    <row r="49" spans="1:6" ht="12.75">
      <c r="A49" t="s">
        <v>18</v>
      </c>
      <c r="B49" t="s">
        <v>19</v>
      </c>
      <c r="C49" t="s">
        <v>20</v>
      </c>
      <c r="D49" t="s">
        <v>21</v>
      </c>
      <c r="E49" t="s">
        <v>22</v>
      </c>
      <c r="F49" t="s">
        <v>23</v>
      </c>
    </row>
    <row r="50" spans="1:6" ht="12.75">
      <c r="A50">
        <f>A47+B47*C50</f>
        <v>0.8100267391358273</v>
      </c>
      <c r="B50">
        <f>C47+D47*C50</f>
        <v>0.2139349536704755</v>
      </c>
      <c r="C50">
        <f>-E47+SQRT(F17)</f>
        <v>0.5459748322798312</v>
      </c>
      <c r="D50">
        <f>A47+B47*F50</f>
        <v>0.8390999577676851</v>
      </c>
      <c r="E50">
        <f>C47+D47*F50</f>
        <v>-0.16369364063738387</v>
      </c>
      <c r="F50">
        <f>-E47-SQRT(F17)</f>
        <v>-0.5187635809201994</v>
      </c>
    </row>
    <row r="52" spans="1:5" ht="12.75">
      <c r="A52" t="s">
        <v>0</v>
      </c>
      <c r="B52" t="s">
        <v>1</v>
      </c>
      <c r="D52" t="s">
        <v>24</v>
      </c>
      <c r="E52" t="s">
        <v>4</v>
      </c>
    </row>
    <row r="53" spans="1:5" ht="12.75">
      <c r="A53">
        <f>ASIN(C50)</f>
        <v>0.5775522340429636</v>
      </c>
      <c r="B53">
        <f>ATAN2(A50,B50)</f>
        <v>0.2582125520134367</v>
      </c>
      <c r="D53">
        <f>ASIN(F50)</f>
        <v>-0.5454040717106025</v>
      </c>
      <c r="E53">
        <f>ATAN2(D50,E50)</f>
        <v>-0.19266266582672734</v>
      </c>
    </row>
    <row r="54" spans="2:6" ht="12.75">
      <c r="B54">
        <f>DEGREES(B53)+C17</f>
        <v>-45.6646772189945</v>
      </c>
      <c r="C54">
        <f>IF(B54&gt;180,B54-360,IF(B54&lt;=-180,B54+360,B54))</f>
        <v>-45.6646772189945</v>
      </c>
      <c r="E54">
        <f>DEGREES(E53)+C17</f>
        <v>-71.4979242882775</v>
      </c>
      <c r="F54">
        <f>IF(E54&gt;180,E54-360,IF(E54&lt;=-180,E54+360,E54))</f>
        <v>-71.4979242882775</v>
      </c>
    </row>
    <row r="56" spans="1:6" ht="12.75">
      <c r="A56" t="s">
        <v>25</v>
      </c>
      <c r="B56" t="s">
        <v>25</v>
      </c>
      <c r="C56" t="s">
        <v>25</v>
      </c>
      <c r="D56" t="s">
        <v>25</v>
      </c>
      <c r="E56" t="s">
        <v>25</v>
      </c>
      <c r="F56" t="s">
        <v>25</v>
      </c>
    </row>
    <row r="58" spans="1:6" ht="12.75">
      <c r="A58" t="s">
        <v>58</v>
      </c>
      <c r="B58" t="s">
        <v>59</v>
      </c>
      <c r="C58" t="s">
        <v>60</v>
      </c>
      <c r="D58" t="s">
        <v>61</v>
      </c>
      <c r="E58" t="s">
        <v>62</v>
      </c>
      <c r="F58" t="s">
        <v>63</v>
      </c>
    </row>
    <row r="59" spans="1:6" ht="12.75">
      <c r="A59">
        <f>A24*A24*A50+A24*B24*B50-B24*C50</f>
        <v>-0.02727352981539355</v>
      </c>
      <c r="B59">
        <f>A24*B24*A50+B24*B24*B50+A24*C50</f>
        <v>0.8591116506129386</v>
      </c>
      <c r="C59">
        <f>B24*A50-A24*B50</f>
        <v>0.5110609810507171</v>
      </c>
      <c r="D59">
        <f>A24*A24*D50+A24*B24*E50-B24*F50</f>
        <v>0.6443824847938107</v>
      </c>
      <c r="E59">
        <f>A24*B24*D50+B24*B24*E50+A24*F50</f>
        <v>-0.013655260490170129</v>
      </c>
      <c r="F59">
        <f>B24*D50-A24*E50</f>
        <v>0.7645814195701462</v>
      </c>
    </row>
    <row r="61" spans="1:5" ht="12.75">
      <c r="A61" t="s">
        <v>0</v>
      </c>
      <c r="B61" t="s">
        <v>1</v>
      </c>
      <c r="D61" t="s">
        <v>3</v>
      </c>
      <c r="E61" t="s">
        <v>4</v>
      </c>
    </row>
    <row r="62" spans="1:5" ht="12.75">
      <c r="A62">
        <f>ASIN(C59)</f>
        <v>0.5364186907020394</v>
      </c>
      <c r="B62">
        <f>ATAN2(A59,B59)</f>
        <v>1.602531867864544</v>
      </c>
      <c r="D62">
        <f>ASIN(F59)</f>
        <v>0.8703916420158088</v>
      </c>
      <c r="E62">
        <f>ATAN2(D59,E59)</f>
        <v>-0.021188063478043702</v>
      </c>
    </row>
    <row r="63" spans="2:6" ht="12.75">
      <c r="B63">
        <f>DEGREES(B62)+C17</f>
        <v>31.35914589718822</v>
      </c>
      <c r="C63">
        <f>IF(B63&gt;180,B63-360,IF(B63&lt;=-180,B63+360,B63))</f>
        <v>31.35914589718822</v>
      </c>
      <c r="E63">
        <f>DEGREES(E62)+C17</f>
        <v>-61.67315328001385</v>
      </c>
      <c r="F63">
        <f>IF(E63&gt;180,E63-360,IF(E63&lt;=-180,E63+360,E63))</f>
        <v>-61.67315328001385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&amp;CIntersections of two LOPs (lines of position)</oddHeader>
    <oddFooter>&amp;C&amp;8Copyright 2009-2011. Navigation Spreadsheets.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Hakel</dc:creator>
  <cp:keywords/>
  <dc:description/>
  <cp:lastModifiedBy>Peter Hakel</cp:lastModifiedBy>
  <dcterms:created xsi:type="dcterms:W3CDTF">2009-02-01T05:13:19Z</dcterms:created>
  <cp:category/>
  <cp:version/>
  <cp:contentType/>
  <cp:contentStatus/>
</cp:coreProperties>
</file>