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1505"/>
  </bookViews>
  <sheets>
    <sheet name="Virtual Octant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N87" i="2"/>
  <c r="N81"/>
  <c r="H4"/>
  <c r="E10"/>
  <c r="C14" s="1"/>
  <c r="C10"/>
  <c r="B14" s="1"/>
  <c r="D18"/>
  <c r="C23" s="1"/>
  <c r="D17"/>
  <c r="B22" s="1"/>
  <c r="D19"/>
  <c r="B106"/>
  <c r="E105"/>
  <c r="E106" s="1"/>
  <c r="F31"/>
  <c r="E31"/>
  <c r="F30"/>
  <c r="E30"/>
  <c r="C8"/>
  <c r="C6"/>
  <c r="C31"/>
  <c r="C30"/>
  <c r="B117"/>
  <c r="C42"/>
  <c r="B42"/>
  <c r="G8" l="1"/>
  <c r="F6"/>
  <c r="F7"/>
  <c r="F8"/>
  <c r="G6"/>
  <c r="G7"/>
  <c r="C13"/>
  <c r="C15"/>
  <c r="C105"/>
  <c r="C106" s="1"/>
  <c r="B13"/>
  <c r="B15"/>
  <c r="B23"/>
  <c r="B24"/>
  <c r="C22"/>
  <c r="C24"/>
  <c r="C117" l="1"/>
  <c r="B109"/>
  <c r="C109" s="1"/>
  <c r="C130" s="1"/>
  <c r="F105"/>
  <c r="F106" s="1"/>
  <c r="B130" l="1"/>
  <c r="B34"/>
  <c r="B55" s="1"/>
  <c r="H20"/>
  <c r="E24"/>
  <c r="D24"/>
  <c r="E23"/>
  <c r="D23"/>
  <c r="E22"/>
  <c r="D22"/>
  <c r="E15"/>
  <c r="D15"/>
  <c r="E14"/>
  <c r="D14"/>
  <c r="E13"/>
  <c r="D13"/>
  <c r="I7"/>
  <c r="M7" s="1"/>
  <c r="H7"/>
  <c r="L7" s="1"/>
  <c r="H8"/>
  <c r="H6"/>
  <c r="E8"/>
  <c r="I8" s="1"/>
  <c r="E7"/>
  <c r="E6"/>
  <c r="D8"/>
  <c r="D7"/>
  <c r="D6"/>
  <c r="I6" s="1"/>
  <c r="G13" l="1"/>
  <c r="I13" s="1"/>
  <c r="F13"/>
  <c r="H13" s="1"/>
  <c r="F14"/>
  <c r="H14" s="1"/>
  <c r="L14" s="1"/>
  <c r="G14"/>
  <c r="I14" s="1"/>
  <c r="M14" s="1"/>
  <c r="G15"/>
  <c r="I15" s="1"/>
  <c r="F15"/>
  <c r="H15" s="1"/>
  <c r="G23"/>
  <c r="I23" s="1"/>
  <c r="O24" s="1"/>
  <c r="C34"/>
  <c r="C55" s="1"/>
  <c r="B35"/>
  <c r="B46" s="1"/>
  <c r="B47" s="1"/>
  <c r="G22"/>
  <c r="I22" s="1"/>
  <c r="F24"/>
  <c r="F23"/>
  <c r="H23" s="1"/>
  <c r="N24" s="1"/>
  <c r="F22"/>
  <c r="H22" s="1"/>
  <c r="G24"/>
  <c r="I24" s="1"/>
  <c r="M38" l="1"/>
  <c r="O38" s="1"/>
  <c r="M33"/>
  <c r="O33" s="1"/>
  <c r="L33"/>
  <c r="N33" s="1"/>
  <c r="L38"/>
  <c r="N38" s="1"/>
  <c r="M15"/>
  <c r="M8"/>
  <c r="L15"/>
  <c r="L8"/>
  <c r="B110"/>
  <c r="B121" s="1"/>
  <c r="B122" s="1"/>
  <c r="C35"/>
  <c r="B39" s="1"/>
  <c r="D50" s="1"/>
  <c r="B51"/>
  <c r="C51"/>
  <c r="H24"/>
  <c r="B71" s="1"/>
  <c r="B62" l="1"/>
  <c r="L50"/>
  <c r="N50" s="1"/>
  <c r="L10"/>
  <c r="L17"/>
  <c r="M17" s="1"/>
  <c r="L21"/>
  <c r="C110"/>
  <c r="B114" s="1"/>
  <c r="D125" s="1"/>
  <c r="B146"/>
  <c r="C146" s="1"/>
  <c r="B126"/>
  <c r="C126"/>
  <c r="C39"/>
  <c r="E50" s="1"/>
  <c r="B82"/>
  <c r="B83" s="1"/>
  <c r="C71"/>
  <c r="D51"/>
  <c r="H62"/>
  <c r="B66" s="1"/>
  <c r="B78" s="1"/>
  <c r="D62"/>
  <c r="B43"/>
  <c r="M50" l="1"/>
  <c r="O50" s="1"/>
  <c r="B137"/>
  <c r="H137" s="1"/>
  <c r="B141" s="1"/>
  <c r="B153" s="1"/>
  <c r="L68"/>
  <c r="N68" s="1"/>
  <c r="B63"/>
  <c r="D63" s="1"/>
  <c r="L51"/>
  <c r="N51" s="1"/>
  <c r="M10"/>
  <c r="N21"/>
  <c r="O21" s="1"/>
  <c r="M21"/>
  <c r="B118"/>
  <c r="C114"/>
  <c r="E125" s="1"/>
  <c r="E51"/>
  <c r="C43"/>
  <c r="D126"/>
  <c r="D137"/>
  <c r="B87"/>
  <c r="C87"/>
  <c r="C62"/>
  <c r="B138" l="1"/>
  <c r="D138" s="1"/>
  <c r="L69"/>
  <c r="N69" s="1"/>
  <c r="C63"/>
  <c r="M51"/>
  <c r="O51" s="1"/>
  <c r="M68"/>
  <c r="O68" s="1"/>
  <c r="L44"/>
  <c r="L46" s="1"/>
  <c r="P51" s="1"/>
  <c r="R51" s="1"/>
  <c r="M24"/>
  <c r="O25" s="1"/>
  <c r="L24"/>
  <c r="N25" s="1"/>
  <c r="B56"/>
  <c r="B58" s="1"/>
  <c r="E126"/>
  <c r="C118"/>
  <c r="C137"/>
  <c r="E63"/>
  <c r="I62"/>
  <c r="C66" s="1"/>
  <c r="E62"/>
  <c r="P50" l="1"/>
  <c r="R50" s="1"/>
  <c r="L56" s="1"/>
  <c r="Q50"/>
  <c r="S50" s="1"/>
  <c r="Q51"/>
  <c r="S51" s="1"/>
  <c r="B131"/>
  <c r="B133" s="1"/>
  <c r="M69"/>
  <c r="O69" s="1"/>
  <c r="M44"/>
  <c r="L62"/>
  <c r="M56"/>
  <c r="M39"/>
  <c r="O39" s="1"/>
  <c r="M34"/>
  <c r="O34" s="1"/>
  <c r="L39"/>
  <c r="N39" s="1"/>
  <c r="L34"/>
  <c r="N34" s="1"/>
  <c r="Q24"/>
  <c r="F63"/>
  <c r="H63" s="1"/>
  <c r="B67" s="1"/>
  <c r="C56"/>
  <c r="C138"/>
  <c r="E138" s="1"/>
  <c r="F138" s="1"/>
  <c r="H138" s="1"/>
  <c r="B142" s="1"/>
  <c r="I137"/>
  <c r="C141" s="1"/>
  <c r="E137"/>
  <c r="C78"/>
  <c r="G63"/>
  <c r="I63" s="1"/>
  <c r="C67" s="1"/>
  <c r="C131" l="1"/>
  <c r="L54"/>
  <c r="L64"/>
  <c r="M62"/>
  <c r="M29"/>
  <c r="O29"/>
  <c r="P39" s="1"/>
  <c r="R24"/>
  <c r="B70"/>
  <c r="C70" s="1"/>
  <c r="G138"/>
  <c r="I138" s="1"/>
  <c r="C142" s="1"/>
  <c r="B145" s="1"/>
  <c r="B166" s="1"/>
  <c r="C153"/>
  <c r="M54" l="1"/>
  <c r="M57" s="1"/>
  <c r="N84"/>
  <c r="Q68"/>
  <c r="S68" s="1"/>
  <c r="P68"/>
  <c r="R68" s="1"/>
  <c r="L74" s="1"/>
  <c r="Q69"/>
  <c r="S69" s="1"/>
  <c r="P69"/>
  <c r="R69" s="1"/>
  <c r="Q34"/>
  <c r="S34" s="1"/>
  <c r="P34"/>
  <c r="R34" s="1"/>
  <c r="R39"/>
  <c r="Q33"/>
  <c r="S33" s="1"/>
  <c r="P33"/>
  <c r="R33" s="1"/>
  <c r="Q38"/>
  <c r="S38" s="1"/>
  <c r="P38"/>
  <c r="R38" s="1"/>
  <c r="Q39"/>
  <c r="S39" s="1"/>
  <c r="B91"/>
  <c r="C145"/>
  <c r="C166" s="1"/>
  <c r="C91"/>
  <c r="B75"/>
  <c r="N85" l="1"/>
  <c r="O84" s="1"/>
  <c r="K20" i="1" s="1"/>
  <c r="N91" i="2"/>
  <c r="L72"/>
  <c r="N90" s="1"/>
  <c r="M74"/>
  <c r="B79"/>
  <c r="D86"/>
  <c r="B98" s="1"/>
  <c r="C75"/>
  <c r="D87"/>
  <c r="B99" s="1"/>
  <c r="O90" l="1"/>
  <c r="K22" i="1" s="1"/>
  <c r="M72" i="2"/>
  <c r="M75" s="1"/>
  <c r="D99"/>
  <c r="C79"/>
  <c r="E86"/>
  <c r="E87"/>
  <c r="D98"/>
  <c r="H98"/>
  <c r="C99" l="1"/>
  <c r="C98"/>
  <c r="B92"/>
  <c r="B94" s="1"/>
  <c r="E99" l="1"/>
  <c r="G99" s="1"/>
  <c r="I99" s="1"/>
  <c r="E98"/>
  <c r="I98"/>
  <c r="C92"/>
  <c r="F99" l="1"/>
  <c r="H99" s="1"/>
  <c r="N82" s="1"/>
  <c r="O81" s="1"/>
  <c r="K19" i="1" s="1"/>
  <c r="B150" i="2" l="1"/>
  <c r="C150" s="1"/>
  <c r="B157"/>
  <c r="B158" s="1"/>
  <c r="C154" l="1"/>
  <c r="E161"/>
  <c r="B154"/>
  <c r="D161"/>
  <c r="B173" s="1"/>
  <c r="C162"/>
  <c r="E162" s="1"/>
  <c r="B162"/>
  <c r="D162" s="1"/>
  <c r="B174" s="1"/>
  <c r="D174" l="1"/>
  <c r="H173"/>
  <c r="D173"/>
  <c r="C174"/>
  <c r="B167"/>
  <c r="B169" s="1"/>
  <c r="C173"/>
  <c r="E174" l="1"/>
  <c r="F174" s="1"/>
  <c r="H174" s="1"/>
  <c r="E173"/>
  <c r="I173"/>
  <c r="C167"/>
  <c r="G174" l="1"/>
  <c r="I174" s="1"/>
  <c r="N88" s="1"/>
  <c r="O87" s="1"/>
  <c r="K21" i="1" s="1"/>
</calcChain>
</file>

<file path=xl/sharedStrings.xml><?xml version="1.0" encoding="utf-8"?>
<sst xmlns="http://schemas.openxmlformats.org/spreadsheetml/2006/main" count="302" uniqueCount="91">
  <si>
    <t>octant figure</t>
  </si>
  <si>
    <t>Foresight Horizon Mirror</t>
  </si>
  <si>
    <t>x</t>
  </si>
  <si>
    <t>y</t>
  </si>
  <si>
    <t>Rotate</t>
  </si>
  <si>
    <t>Angle</t>
  </si>
  <si>
    <t>Backsight Horizon Mirror</t>
  </si>
  <si>
    <t>Index Mirror</t>
  </si>
  <si>
    <t>Translate</t>
  </si>
  <si>
    <t>translate back</t>
  </si>
  <si>
    <t>Foresight Optical Path</t>
  </si>
  <si>
    <t xml:space="preserve">x </t>
  </si>
  <si>
    <t>M</t>
  </si>
  <si>
    <t>B</t>
  </si>
  <si>
    <t>Of Foresight Optical Path</t>
  </si>
  <si>
    <t>Of Index Mirror</t>
  </si>
  <si>
    <t>Intersection of Optical Path and Index Mirror</t>
  </si>
  <si>
    <t xml:space="preserve">Y </t>
  </si>
  <si>
    <t>X</t>
  </si>
  <si>
    <t>Optical path to Intersection</t>
  </si>
  <si>
    <t>Create Normal At Intersection</t>
  </si>
  <si>
    <t>Angle of foresight mirror</t>
  </si>
  <si>
    <t>Angle of Normal</t>
  </si>
  <si>
    <t>Nom X</t>
  </si>
  <si>
    <t>Nom Y</t>
  </si>
  <si>
    <t>Translate to intersection point</t>
  </si>
  <si>
    <t>Y</t>
  </si>
  <si>
    <t>Angle of Incedence</t>
  </si>
  <si>
    <t>start</t>
  </si>
  <si>
    <t>@ intersection</t>
  </si>
  <si>
    <t>of foresight optical path</t>
  </si>
  <si>
    <t>of normal</t>
  </si>
  <si>
    <t>Angle Betwixt</t>
  </si>
  <si>
    <t>unrotated</t>
  </si>
  <si>
    <t>translated</t>
  </si>
  <si>
    <t>rotated</t>
  </si>
  <si>
    <t>Of Foresight Horizon Mirror</t>
  </si>
  <si>
    <t>Of Normal</t>
  </si>
  <si>
    <t>Of Normal on Foresight Horizon Mirror</t>
  </si>
  <si>
    <t>Backsight Optical Path</t>
  </si>
  <si>
    <t>Of Backsight Horizon Mirror</t>
  </si>
  <si>
    <t>Of Backsight Optical path</t>
  </si>
  <si>
    <t>of Backsight Reflected optical path</t>
  </si>
  <si>
    <t>Change Horizon Mirror Angles</t>
  </si>
  <si>
    <t>to the Horizon</t>
  </si>
  <si>
    <t>Change Index Mirror Angles</t>
  </si>
  <si>
    <t>Change Length of Index Mirror</t>
  </si>
  <si>
    <t xml:space="preserve"> </t>
  </si>
  <si>
    <t>Change Vertical Location of Index Mirror</t>
  </si>
  <si>
    <t>Change Horizontal Location of Index Mirror</t>
  </si>
  <si>
    <t>Horizontal Location of Backsight Horizon Mirror</t>
  </si>
  <si>
    <t>Vertical Location of Backsight Horizon Mirror</t>
  </si>
  <si>
    <t>Perfect lines</t>
  </si>
  <si>
    <t>Normal at Index Mirror rotation point</t>
  </si>
  <si>
    <t>m</t>
  </si>
  <si>
    <t>b</t>
  </si>
  <si>
    <t>Normal Angle</t>
  </si>
  <si>
    <t xml:space="preserve">Normal  </t>
  </si>
  <si>
    <t>Translated</t>
  </si>
  <si>
    <t>Angle Between Vectors</t>
  </si>
  <si>
    <t>Foresight &amp; Index</t>
  </si>
  <si>
    <t xml:space="preserve">angle  </t>
  </si>
  <si>
    <t>Backsight &amp; Index</t>
  </si>
  <si>
    <t>angle</t>
  </si>
  <si>
    <t>Normal</t>
  </si>
  <si>
    <t>Create Reflected Beam, Foresight</t>
  </si>
  <si>
    <t>Rotated</t>
  </si>
  <si>
    <t>translated back</t>
  </si>
  <si>
    <t>Create Reflected Beam, Backsight</t>
  </si>
  <si>
    <t>Foresight Horizon path, given other angles</t>
  </si>
  <si>
    <t>Slope of Normal at Foresight Horizon Mirror at Intersection</t>
  </si>
  <si>
    <t>Angle Between Foresight Vector and Normal</t>
  </si>
  <si>
    <t>Create Input beam, foresight</t>
  </si>
  <si>
    <t>Nominal</t>
  </si>
  <si>
    <t>Xlate Back</t>
  </si>
  <si>
    <t>Horizon</t>
  </si>
  <si>
    <t>Create Horizon View of Foresight</t>
  </si>
  <si>
    <t>Backsight Horizon Path, given other angles</t>
  </si>
  <si>
    <t>Slope of Normal at Backsight Horizon Mirror at Intersection</t>
  </si>
  <si>
    <t>Angle Between Backsight Vector and Normal</t>
  </si>
  <si>
    <t>Create Input beam, backsight</t>
  </si>
  <si>
    <t>Foresight</t>
  </si>
  <si>
    <t>Backsight</t>
  </si>
  <si>
    <t>Foresight Common</t>
  </si>
  <si>
    <t>Object</t>
  </si>
  <si>
    <t>Foresight  Parallel</t>
  </si>
  <si>
    <t>Backsight Parallel</t>
  </si>
  <si>
    <t>Backsight Common</t>
  </si>
  <si>
    <t>Slope</t>
  </si>
  <si>
    <t>Create Horizon View of Backsight</t>
  </si>
  <si>
    <t>Angles between Horizon View and Object View (What the Nonius Tells Us!)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</si>
</sst>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19FF81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9FF8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9FF8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Virtual Octant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v>Foresight Mirror</c:v>
          </c:tx>
          <c:marker>
            <c:symbol val="none"/>
          </c:marker>
          <c:xVal>
            <c:numRef>
              <c:f>Sheet2!$H$6:$H$8</c:f>
              <c:numCache>
                <c:formatCode>General</c:formatCode>
                <c:ptCount val="3"/>
                <c:pt idx="0">
                  <c:v>-6.6921692623371705</c:v>
                </c:pt>
                <c:pt idx="1">
                  <c:v>-7</c:v>
                </c:pt>
                <c:pt idx="2">
                  <c:v>-7.3078307376628295</c:v>
                </c:pt>
              </c:numCache>
            </c:numRef>
          </c:xVal>
          <c:yVal>
            <c:numRef>
              <c:f>Sheet2!$I$6:$I$8</c:f>
              <c:numCache>
                <c:formatCode>General</c:formatCode>
                <c:ptCount val="3"/>
                <c:pt idx="0">
                  <c:v>-0.39400537680336095</c:v>
                </c:pt>
                <c:pt idx="1">
                  <c:v>0</c:v>
                </c:pt>
                <c:pt idx="2">
                  <c:v>0.39400537680336095</c:v>
                </c:pt>
              </c:numCache>
            </c:numRef>
          </c:yVal>
        </c:ser>
        <c:ser>
          <c:idx val="1"/>
          <c:order val="1"/>
          <c:tx>
            <c:v>Backsight Mirror</c:v>
          </c:tx>
          <c:marker>
            <c:symbol val="none"/>
          </c:marker>
          <c:xVal>
            <c:numRef>
              <c:f>Sheet2!$H$13:$H$15</c:f>
              <c:numCache>
                <c:formatCode>General</c:formatCode>
                <c:ptCount val="3"/>
                <c:pt idx="0">
                  <c:v>-4.2309946231966391</c:v>
                </c:pt>
                <c:pt idx="1">
                  <c:v>-4.625</c:v>
                </c:pt>
                <c:pt idx="2">
                  <c:v>-5.0190053768033609</c:v>
                </c:pt>
              </c:numCache>
            </c:numRef>
          </c:xVal>
          <c:yVal>
            <c:numRef>
              <c:f>Sheet2!$I$13:$I$15</c:f>
              <c:numCache>
                <c:formatCode>General</c:formatCode>
                <c:ptCount val="3"/>
                <c:pt idx="0">
                  <c:v>-3.1921692623371709</c:v>
                </c:pt>
                <c:pt idx="1">
                  <c:v>-3.5</c:v>
                </c:pt>
                <c:pt idx="2">
                  <c:v>-3.8078307376628291</c:v>
                </c:pt>
              </c:numCache>
            </c:numRef>
          </c:yVal>
        </c:ser>
        <c:ser>
          <c:idx val="2"/>
          <c:order val="2"/>
          <c:tx>
            <c:v>Index Mirror</c:v>
          </c:tx>
          <c:marker>
            <c:symbol val="none"/>
          </c:marker>
          <c:xVal>
            <c:numRef>
              <c:f>Sheet2!$H$22:$H$24</c:f>
              <c:numCache>
                <c:formatCode>General</c:formatCode>
                <c:ptCount val="3"/>
                <c:pt idx="0">
                  <c:v>-2.1360613788156906</c:v>
                </c:pt>
                <c:pt idx="1">
                  <c:v>-1</c:v>
                </c:pt>
                <c:pt idx="2">
                  <c:v>0.13606137881569058</c:v>
                </c:pt>
              </c:numCache>
            </c:numRef>
          </c:xVal>
          <c:yVal>
            <c:numRef>
              <c:f>Sheet2!$I$22:$I$24</c:f>
              <c:numCache>
                <c:formatCode>General</c:formatCode>
                <c:ptCount val="3"/>
                <c:pt idx="0">
                  <c:v>21.960278939472772</c:v>
                </c:pt>
                <c:pt idx="1">
                  <c:v>18.125</c:v>
                </c:pt>
                <c:pt idx="2">
                  <c:v>14.289721060527228</c:v>
                </c:pt>
              </c:numCache>
            </c:numRef>
          </c:yVal>
        </c:ser>
        <c:ser>
          <c:idx val="3"/>
          <c:order val="3"/>
          <c:tx>
            <c:v>Foresight Optical Path (1)</c:v>
          </c:tx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Sheet2!$B$42:$B$43</c:f>
              <c:numCache>
                <c:formatCode>General</c:formatCode>
                <c:ptCount val="2"/>
                <c:pt idx="0">
                  <c:v>7</c:v>
                </c:pt>
                <c:pt idx="1">
                  <c:v>-7.0000000000000009</c:v>
                </c:pt>
              </c:numCache>
            </c:numRef>
          </c:xVal>
          <c:yVal>
            <c:numRef>
              <c:f>Sheet2!$C$42:$C$43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Normal Foresight Intersection (1)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Sheet2!$D$50:$D$51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-6.2119892463932791</c:v>
                </c:pt>
              </c:numCache>
            </c:numRef>
          </c:xVal>
          <c:yVal>
            <c:numRef>
              <c:f>Sheet2!$E$50:$E$51</c:f>
              <c:numCache>
                <c:formatCode>General</c:formatCode>
                <c:ptCount val="2"/>
                <c:pt idx="0">
                  <c:v>0</c:v>
                </c:pt>
                <c:pt idx="1">
                  <c:v>0.61566147532565874</c:v>
                </c:pt>
              </c:numCache>
            </c:numRef>
          </c:yVal>
        </c:ser>
        <c:ser>
          <c:idx val="6"/>
          <c:order val="5"/>
          <c:tx>
            <c:v>Foresight Reflected </c:v>
          </c:tx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Sheet2!$B$78:$B$79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-1.8041027815378463</c:v>
                </c:pt>
              </c:numCache>
            </c:numRef>
          </c:xVal>
          <c:yVal>
            <c:numRef>
              <c:f>Sheet2!$C$78:$C$79</c:f>
              <c:numCache>
                <c:formatCode>General</c:formatCode>
                <c:ptCount val="2"/>
                <c:pt idx="0">
                  <c:v>0</c:v>
                </c:pt>
                <c:pt idx="1">
                  <c:v>20.83960549642002</c:v>
                </c:pt>
              </c:numCache>
            </c:numRef>
          </c:yVal>
        </c:ser>
        <c:ser>
          <c:idx val="5"/>
          <c:order val="6"/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Sheet2!$H$98:$H$99</c:f>
              <c:numCache>
                <c:formatCode>General</c:formatCode>
                <c:ptCount val="2"/>
                <c:pt idx="0">
                  <c:v>-1.8041027815378463</c:v>
                </c:pt>
                <c:pt idx="1">
                  <c:v>-9.11763979772957</c:v>
                </c:pt>
              </c:numCache>
            </c:numRef>
          </c:xVal>
          <c:yVal>
            <c:numRef>
              <c:f>Sheet2!$I$98:$I$99</c:f>
              <c:numCache>
                <c:formatCode>General</c:formatCode>
                <c:ptCount val="2"/>
                <c:pt idx="0">
                  <c:v>20.83960549642002</c:v>
                </c:pt>
                <c:pt idx="1">
                  <c:v>27.659589097044993</c:v>
                </c:pt>
              </c:numCache>
            </c:numRef>
          </c:yVal>
        </c:ser>
        <c:ser>
          <c:idx val="7"/>
          <c:order val="7"/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Sheet2!$D$86:$D$87</c:f>
              <c:numCache>
                <c:formatCode>General</c:formatCode>
                <c:ptCount val="2"/>
                <c:pt idx="0">
                  <c:v>-1.8041027815378463</c:v>
                </c:pt>
                <c:pt idx="1">
                  <c:v>-2.7629225164060394</c:v>
                </c:pt>
              </c:numCache>
            </c:numRef>
          </c:xVal>
          <c:yVal>
            <c:numRef>
              <c:f>Sheet2!$E$86:$E$87</c:f>
              <c:numCache>
                <c:formatCode>General</c:formatCode>
                <c:ptCount val="2"/>
                <c:pt idx="0">
                  <c:v>20.83960549642002</c:v>
                </c:pt>
                <c:pt idx="1">
                  <c:v>20.555590151716096</c:v>
                </c:pt>
              </c:numCache>
            </c:numRef>
          </c:yVal>
        </c:ser>
        <c:ser>
          <c:idx val="8"/>
          <c:order val="8"/>
          <c:tx>
            <c:v>Backsight Input path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Sheet2!$B$117:$B$118</c:f>
              <c:numCache>
                <c:formatCode>General</c:formatCode>
                <c:ptCount val="2"/>
                <c:pt idx="0">
                  <c:v>-12</c:v>
                </c:pt>
                <c:pt idx="1">
                  <c:v>-4.625</c:v>
                </c:pt>
              </c:numCache>
            </c:numRef>
          </c:xVal>
          <c:yVal>
            <c:numRef>
              <c:f>Sheet2!$C$117:$C$118</c:f>
              <c:numCache>
                <c:formatCode>General</c:formatCod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</c:ser>
        <c:ser>
          <c:idx val="9"/>
          <c:order val="9"/>
          <c:tx>
            <c:v>Normal At Backsight Horizon Mirror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Sheet2!$D$125:$D$126</c:f>
              <c:numCache>
                <c:formatCode>General</c:formatCode>
                <c:ptCount val="2"/>
                <c:pt idx="0">
                  <c:v>-4.625</c:v>
                </c:pt>
                <c:pt idx="1">
                  <c:v>-5.2406614753256582</c:v>
                </c:pt>
              </c:numCache>
            </c:numRef>
          </c:xVal>
          <c:yVal>
            <c:numRef>
              <c:f>Sheet2!$E$125:$E$126</c:f>
              <c:numCache>
                <c:formatCode>General</c:formatCode>
                <c:ptCount val="2"/>
                <c:pt idx="0">
                  <c:v>-3.5</c:v>
                </c:pt>
                <c:pt idx="1">
                  <c:v>-2.7119892463932782</c:v>
                </c:pt>
              </c:numCache>
            </c:numRef>
          </c:yVal>
        </c:ser>
        <c:ser>
          <c:idx val="10"/>
          <c:order val="10"/>
          <c:tx>
            <c:v>Reflected off of Backsight Horizon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Sheet2!$B$153:$B$154</c:f>
              <c:numCache>
                <c:formatCode>General</c:formatCode>
                <c:ptCount val="2"/>
                <c:pt idx="0">
                  <c:v>-4.625</c:v>
                </c:pt>
                <c:pt idx="1">
                  <c:v>-4.0722413033458776E-2</c:v>
                </c:pt>
              </c:numCache>
            </c:numRef>
          </c:xVal>
          <c:yVal>
            <c:numRef>
              <c:f>Sheet2!$C$153:$C$154</c:f>
              <c:numCache>
                <c:formatCode>General</c:formatCode>
                <c:ptCount val="2"/>
                <c:pt idx="0">
                  <c:v>-3.5</c:v>
                </c:pt>
                <c:pt idx="1">
                  <c:v>14.886533139841104</c:v>
                </c:pt>
              </c:numCache>
            </c:numRef>
          </c:yVal>
        </c:ser>
        <c:ser>
          <c:idx val="11"/>
          <c:order val="11"/>
          <c:tx>
            <c:v>Index Normal Backsight Path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Sheet2!$D$161:$D$162</c:f>
              <c:numCache>
                <c:formatCode>General</c:formatCode>
                <c:ptCount val="2"/>
                <c:pt idx="0">
                  <c:v>-4.0722413033458776E-2</c:v>
                </c:pt>
                <c:pt idx="1">
                  <c:v>-0.99954214790165186</c:v>
                </c:pt>
              </c:numCache>
            </c:numRef>
          </c:xVal>
          <c:yVal>
            <c:numRef>
              <c:f>Sheet2!$E$161:$E$162</c:f>
              <c:numCache>
                <c:formatCode>General</c:formatCode>
                <c:ptCount val="2"/>
                <c:pt idx="0">
                  <c:v>14.886533139841104</c:v>
                </c:pt>
                <c:pt idx="1">
                  <c:v>14.602517795137182</c:v>
                </c:pt>
              </c:numCache>
            </c:numRef>
          </c:yVal>
        </c:ser>
        <c:ser>
          <c:idx val="12"/>
          <c:order val="12"/>
          <c:tx>
            <c:v>Backsight Path of Index Mirror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Sheet2!$H$173:$H$174</c:f>
              <c:numCache>
                <c:formatCode>General</c:formatCode>
                <c:ptCount val="2"/>
                <c:pt idx="0">
                  <c:v>-4.0722413033458776E-2</c:v>
                </c:pt>
                <c:pt idx="1">
                  <c:v>-7.354259429225162</c:v>
                </c:pt>
              </c:numCache>
            </c:numRef>
          </c:xVal>
          <c:yVal>
            <c:numRef>
              <c:f>Sheet2!$I$173:$I$174</c:f>
              <c:numCache>
                <c:formatCode>General</c:formatCode>
                <c:ptCount val="2"/>
                <c:pt idx="0">
                  <c:v>14.886533139841104</c:v>
                </c:pt>
                <c:pt idx="1">
                  <c:v>21.706516740466089</c:v>
                </c:pt>
              </c:numCache>
            </c:numRef>
          </c:yVal>
        </c:ser>
        <c:ser>
          <c:idx val="13"/>
          <c:order val="13"/>
          <c:tx>
            <c:v>Foresight to Horizon</c:v>
          </c:tx>
          <c:spPr>
            <a:ln w="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Sheet2!$E$30:$E$31</c:f>
              <c:numCache>
                <c:formatCode>General</c:formatCode>
                <c:ptCount val="2"/>
                <c:pt idx="0">
                  <c:v>7</c:v>
                </c:pt>
                <c:pt idx="1">
                  <c:v>-93</c:v>
                </c:pt>
              </c:numCache>
            </c:numRef>
          </c:xVal>
          <c:yVal>
            <c:numRef>
              <c:f>Sheet2!$F$30:$F$31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4"/>
          <c:order val="14"/>
          <c:tx>
            <c:v>Backsight Path to Horizon</c:v>
          </c:tx>
          <c:spPr>
            <a:ln w="0">
              <a:solidFill>
                <a:srgbClr val="19FF81"/>
              </a:solidFill>
              <a:prstDash val="sysDash"/>
            </a:ln>
          </c:spPr>
          <c:marker>
            <c:symbol val="none"/>
          </c:marker>
          <c:xVal>
            <c:numRef>
              <c:f>Sheet2!$E$105:$E$106</c:f>
              <c:numCache>
                <c:formatCode>General</c:formatCode>
                <c:ptCount val="2"/>
                <c:pt idx="0">
                  <c:v>-12</c:v>
                </c:pt>
                <c:pt idx="1">
                  <c:v>88</c:v>
                </c:pt>
              </c:numCache>
            </c:numRef>
          </c:xVal>
          <c:yVal>
            <c:numRef>
              <c:f>Sheet2!$F$105:$F$106</c:f>
              <c:numCache>
                <c:formatCode>General</c:formatCod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</c:ser>
        <c:ser>
          <c:idx val="15"/>
          <c:order val="15"/>
          <c:tx>
            <c:v>Perfect Foresight Line</c:v>
          </c:tx>
          <c:spPr>
            <a:ln w="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Sheet2!$L$7:$L$8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Sheet2!$M$7:$M$8</c:f>
              <c:numCache>
                <c:formatCode>General</c:formatCode>
                <c:ptCount val="2"/>
                <c:pt idx="0">
                  <c:v>0</c:v>
                </c:pt>
                <c:pt idx="1">
                  <c:v>18.125</c:v>
                </c:pt>
              </c:numCache>
            </c:numRef>
          </c:yVal>
        </c:ser>
        <c:ser>
          <c:idx val="16"/>
          <c:order val="16"/>
          <c:tx>
            <c:v>Perfect Backsight Line</c:v>
          </c:tx>
          <c:spPr>
            <a:ln w="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Sheet2!$L$14:$L$15</c:f>
              <c:numCache>
                <c:formatCode>General</c:formatCode>
                <c:ptCount val="2"/>
                <c:pt idx="0">
                  <c:v>-4.625</c:v>
                </c:pt>
                <c:pt idx="1">
                  <c:v>-1</c:v>
                </c:pt>
              </c:numCache>
            </c:numRef>
          </c:xVal>
          <c:yVal>
            <c:numRef>
              <c:f>Sheet2!$M$14:$M$15</c:f>
              <c:numCache>
                <c:formatCode>General</c:formatCode>
                <c:ptCount val="2"/>
                <c:pt idx="0">
                  <c:v>-3.5</c:v>
                </c:pt>
                <c:pt idx="1">
                  <c:v>18.125</c:v>
                </c:pt>
              </c:numCache>
            </c:numRef>
          </c:yVal>
        </c:ser>
        <c:ser>
          <c:idx val="17"/>
          <c:order val="17"/>
          <c:tx>
            <c:v>Normal @ Index Rotation Point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Sheet2!$N$24:$N$25</c:f>
              <c:numCache>
                <c:formatCode>General</c:formatCode>
                <c:ptCount val="2"/>
                <c:pt idx="0">
                  <c:v>-1</c:v>
                </c:pt>
                <c:pt idx="1">
                  <c:v>-1.9588197348681931</c:v>
                </c:pt>
              </c:numCache>
            </c:numRef>
          </c:xVal>
          <c:yVal>
            <c:numRef>
              <c:f>Sheet2!$O$24:$O$25</c:f>
              <c:numCache>
                <c:formatCode>General</c:formatCode>
                <c:ptCount val="2"/>
                <c:pt idx="0">
                  <c:v>18.125</c:v>
                </c:pt>
                <c:pt idx="1">
                  <c:v>17.840984655296076</c:v>
                </c:pt>
              </c:numCache>
            </c:numRef>
          </c:yVal>
        </c:ser>
        <c:ser>
          <c:idx val="18"/>
          <c:order val="18"/>
          <c:tx>
            <c:v>Reflected Fore Common Point</c:v>
          </c:tx>
          <c:spPr>
            <a:ln w="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Sheet2!$R$33:$R$34</c:f>
              <c:numCache>
                <c:formatCode>General</c:formatCode>
                <c:ptCount val="2"/>
                <c:pt idx="0">
                  <c:v>-1</c:v>
                </c:pt>
                <c:pt idx="1">
                  <c:v>-8.8060851408668999</c:v>
                </c:pt>
              </c:numCache>
            </c:numRef>
          </c:xVal>
          <c:yVal>
            <c:numRef>
              <c:f>Sheet2!$S$33:$S$34</c:f>
              <c:numCache>
                <c:formatCode>General</c:formatCode>
                <c:ptCount val="2"/>
                <c:pt idx="0">
                  <c:v>18.125</c:v>
                </c:pt>
                <c:pt idx="1">
                  <c:v>24.375202778593433</c:v>
                </c:pt>
              </c:numCache>
            </c:numRef>
          </c:yVal>
        </c:ser>
        <c:ser>
          <c:idx val="19"/>
          <c:order val="19"/>
          <c:tx>
            <c:v>Reflected Backsight Common</c:v>
          </c:tx>
          <c:spPr>
            <a:ln w="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Sheet2!$R$38:$R$39</c:f>
              <c:numCache>
                <c:formatCode>General</c:formatCode>
                <c:ptCount val="2"/>
                <c:pt idx="0">
                  <c:v>-1</c:v>
                </c:pt>
                <c:pt idx="1">
                  <c:v>-7.7579632787274386</c:v>
                </c:pt>
              </c:numCache>
            </c:numRef>
          </c:xVal>
          <c:yVal>
            <c:numRef>
              <c:f>Sheet2!$S$38:$S$39</c:f>
              <c:numCache>
                <c:formatCode>General</c:formatCode>
                <c:ptCount val="2"/>
                <c:pt idx="0">
                  <c:v>18.125</c:v>
                </c:pt>
                <c:pt idx="1">
                  <c:v>25.495884093741509</c:v>
                </c:pt>
              </c:numCache>
            </c:numRef>
          </c:yVal>
        </c:ser>
        <c:ser>
          <c:idx val="20"/>
          <c:order val="20"/>
          <c:tx>
            <c:v>Input Foresight Common</c:v>
          </c:tx>
          <c:spPr>
            <a:ln w="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Sheet2!$R$50:$R$51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2.9716373079862022</c:v>
                </c:pt>
              </c:numCache>
            </c:numRef>
          </c:xVal>
          <c:yVal>
            <c:numRef>
              <c:f>Sheet2!$S$50:$S$51</c:f>
              <c:numCache>
                <c:formatCode>General</c:formatCode>
                <c:ptCount val="2"/>
                <c:pt idx="0">
                  <c:v>0</c:v>
                </c:pt>
                <c:pt idx="1">
                  <c:v>0.75262832658470824</c:v>
                </c:pt>
              </c:numCache>
            </c:numRef>
          </c:yVal>
        </c:ser>
        <c:ser>
          <c:idx val="21"/>
          <c:order val="21"/>
          <c:tx>
            <c:v>Horizon Foresight Common</c:v>
          </c:tx>
          <c:spPr>
            <a:ln w="0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Sheet2!$L$56:$L$57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-20</c:v>
                </c:pt>
              </c:numCache>
            </c:numRef>
          </c:xVal>
          <c:yVal>
            <c:numRef>
              <c:f>Sheet2!$M$56:$M$57</c:f>
              <c:numCache>
                <c:formatCode>General</c:formatCode>
                <c:ptCount val="2"/>
                <c:pt idx="0">
                  <c:v>0</c:v>
                </c:pt>
                <c:pt idx="1">
                  <c:v>-0.98119977125172253</c:v>
                </c:pt>
              </c:numCache>
            </c:numRef>
          </c:yVal>
        </c:ser>
        <c:ser>
          <c:idx val="22"/>
          <c:order val="22"/>
          <c:tx>
            <c:v>Backsight Input Common</c:v>
          </c:tx>
          <c:spPr>
            <a:ln w="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Sheet2!$R$68:$R$69</c:f>
              <c:numCache>
                <c:formatCode>General</c:formatCode>
                <c:ptCount val="2"/>
                <c:pt idx="0">
                  <c:v>-4.625</c:v>
                </c:pt>
                <c:pt idx="1">
                  <c:v>-14.594392323446193</c:v>
                </c:pt>
              </c:numCache>
            </c:numRef>
          </c:xVal>
          <c:yVal>
            <c:numRef>
              <c:f>Sheet2!$S$68:$S$69</c:f>
              <c:numCache>
                <c:formatCode>General</c:formatCode>
                <c:ptCount val="2"/>
                <c:pt idx="0">
                  <c:v>-3.5</c:v>
                </c:pt>
                <c:pt idx="1">
                  <c:v>-2.7181965072909531</c:v>
                </c:pt>
              </c:numCache>
            </c:numRef>
          </c:yVal>
        </c:ser>
        <c:ser>
          <c:idx val="23"/>
          <c:order val="23"/>
          <c:tx>
            <c:v>backsight horizon common</c:v>
          </c:tx>
          <c:spPr>
            <a:ln w="0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Sheet2!$L$74:$L$75</c:f>
              <c:numCache>
                <c:formatCode>General</c:formatCode>
                <c:ptCount val="2"/>
                <c:pt idx="0">
                  <c:v>-4.625</c:v>
                </c:pt>
                <c:pt idx="1">
                  <c:v>20</c:v>
                </c:pt>
              </c:numCache>
            </c:numRef>
          </c:xVal>
          <c:yVal>
            <c:numRef>
              <c:f>Sheet2!$M$74:$M$75</c:f>
              <c:numCache>
                <c:formatCode>General</c:formatCode>
                <c:ptCount val="2"/>
                <c:pt idx="0">
                  <c:v>-3.5</c:v>
                </c:pt>
                <c:pt idx="1">
                  <c:v>-5.431101754585713</c:v>
                </c:pt>
              </c:numCache>
            </c:numRef>
          </c:yVal>
        </c:ser>
        <c:axId val="107515264"/>
        <c:axId val="107525248"/>
      </c:scatterChart>
      <c:valAx>
        <c:axId val="107515264"/>
        <c:scaling>
          <c:orientation val="minMax"/>
          <c:max val="20"/>
          <c:min val="-20"/>
        </c:scaling>
        <c:delete val="1"/>
        <c:axPos val="b"/>
        <c:numFmt formatCode="General" sourceLinked="1"/>
        <c:tickLblPos val="none"/>
        <c:crossAx val="107525248"/>
        <c:crosses val="autoZero"/>
        <c:crossBetween val="midCat"/>
      </c:valAx>
      <c:valAx>
        <c:axId val="107525248"/>
        <c:scaling>
          <c:orientation val="minMax"/>
          <c:max val="36"/>
          <c:min val="-12"/>
        </c:scaling>
        <c:delete val="1"/>
        <c:axPos val="l"/>
        <c:numFmt formatCode="General" sourceLinked="1"/>
        <c:tickLblPos val="none"/>
        <c:crossAx val="10751526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8</xdr:col>
      <xdr:colOff>514350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workbookViewId="0">
      <selection activeCell="K30" sqref="K30"/>
    </sheetView>
  </sheetViews>
  <sheetFormatPr defaultRowHeight="15"/>
  <sheetData>
    <row r="1" spans="1:16">
      <c r="A1" t="s">
        <v>47</v>
      </c>
    </row>
    <row r="4" spans="1:16">
      <c r="G4">
        <v>20</v>
      </c>
      <c r="P4" t="s">
        <v>43</v>
      </c>
    </row>
    <row r="6" spans="1:16">
      <c r="P6" t="s">
        <v>45</v>
      </c>
    </row>
    <row r="8" spans="1:16">
      <c r="P8" t="s">
        <v>46</v>
      </c>
    </row>
    <row r="10" spans="1:16">
      <c r="P10" t="s">
        <v>49</v>
      </c>
    </row>
    <row r="12" spans="1:16">
      <c r="P12" t="s">
        <v>48</v>
      </c>
    </row>
    <row r="14" spans="1:16">
      <c r="P14" t="s">
        <v>50</v>
      </c>
    </row>
    <row r="16" spans="1:16">
      <c r="P16" t="s">
        <v>51</v>
      </c>
    </row>
    <row r="17" spans="3:11">
      <c r="C17">
        <v>100</v>
      </c>
    </row>
    <row r="18" spans="3:11">
      <c r="C18">
        <v>12</v>
      </c>
      <c r="J18" t="s">
        <v>90</v>
      </c>
    </row>
    <row r="19" spans="3:11">
      <c r="C19">
        <v>36</v>
      </c>
      <c r="J19" t="s">
        <v>81</v>
      </c>
      <c r="K19" s="6">
        <f>Sheet2!O81</f>
        <v>-42.999999999999879</v>
      </c>
    </row>
    <row r="20" spans="3:11">
      <c r="G20">
        <v>6</v>
      </c>
      <c r="J20" t="s">
        <v>81</v>
      </c>
      <c r="K20" s="7">
        <f>Sheet2!O84</f>
        <v>-42.999999999999872</v>
      </c>
    </row>
    <row r="21" spans="3:11">
      <c r="J21" t="s">
        <v>82</v>
      </c>
      <c r="K21" s="8">
        <f>Sheet2!O87</f>
        <v>-43.000000000000007</v>
      </c>
    </row>
    <row r="22" spans="3:11">
      <c r="J22" t="s">
        <v>82</v>
      </c>
      <c r="K22" s="9">
        <f>Sheet2!O90</f>
        <v>-42.999999999999837</v>
      </c>
    </row>
  </sheetData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76"/>
  <sheetViews>
    <sheetView topLeftCell="A56" workbookViewId="0">
      <selection activeCell="O81" sqref="O81"/>
    </sheetView>
  </sheetViews>
  <sheetFormatPr defaultRowHeight="15"/>
  <cols>
    <col min="11" max="11" width="9.140625" style="4"/>
  </cols>
  <sheetData>
    <row r="1" spans="1:13">
      <c r="A1" t="s">
        <v>0</v>
      </c>
    </row>
    <row r="3" spans="1:13">
      <c r="A3" t="s">
        <v>1</v>
      </c>
      <c r="D3" t="s">
        <v>8</v>
      </c>
      <c r="F3" t="s">
        <v>4</v>
      </c>
      <c r="H3" t="s">
        <v>9</v>
      </c>
      <c r="L3" t="s">
        <v>52</v>
      </c>
    </row>
    <row r="4" spans="1:13">
      <c r="F4" t="s">
        <v>5</v>
      </c>
      <c r="G4">
        <v>76</v>
      </c>
      <c r="H4">
        <f>G4/2</f>
        <v>38</v>
      </c>
    </row>
    <row r="5" spans="1:13">
      <c r="B5" t="s">
        <v>2</v>
      </c>
      <c r="C5" t="s">
        <v>3</v>
      </c>
      <c r="F5" t="s">
        <v>2</v>
      </c>
      <c r="G5" t="s">
        <v>3</v>
      </c>
    </row>
    <row r="6" spans="1:13">
      <c r="B6">
        <v>-7</v>
      </c>
      <c r="C6">
        <f>0.5+C7</f>
        <v>0.5</v>
      </c>
      <c r="D6">
        <f>B6-B7</f>
        <v>0</v>
      </c>
      <c r="E6">
        <f>C6-C7</f>
        <v>0.5</v>
      </c>
      <c r="F6">
        <f>COS(RADIANS(H4))*D6+SIN(RADIANS(H4))*E6</f>
        <v>0.30783073766282915</v>
      </c>
      <c r="G6">
        <f>SIN(RADIANS(H4))*D6-COS(RADIANS(H4))*E6</f>
        <v>-0.39400537680336095</v>
      </c>
      <c r="H6">
        <f>F6+B7</f>
        <v>-6.6921692623371705</v>
      </c>
      <c r="I6">
        <f>G6+C7</f>
        <v>-0.39400537680336095</v>
      </c>
      <c r="L6" t="s">
        <v>2</v>
      </c>
      <c r="M6" t="s">
        <v>3</v>
      </c>
    </row>
    <row r="7" spans="1:13">
      <c r="B7">
        <v>-7</v>
      </c>
      <c r="C7">
        <v>0</v>
      </c>
      <c r="D7">
        <f>B7-B7</f>
        <v>0</v>
      </c>
      <c r="E7">
        <f>C7-C7</f>
        <v>0</v>
      </c>
      <c r="F7">
        <f>COS(RADIANS(H4))*D7+SIN(RADIANS(H4))*E7</f>
        <v>0</v>
      </c>
      <c r="G7">
        <f>SIN(RADIANS(H4))*D7-COS(RADIANS(H4))*E7</f>
        <v>0</v>
      </c>
      <c r="H7">
        <f>F7+B7</f>
        <v>-7</v>
      </c>
      <c r="I7">
        <f>G7+C7</f>
        <v>0</v>
      </c>
      <c r="L7">
        <f>H7</f>
        <v>-7</v>
      </c>
      <c r="M7">
        <f>I7</f>
        <v>0</v>
      </c>
    </row>
    <row r="8" spans="1:13">
      <c r="B8">
        <v>-7</v>
      </c>
      <c r="C8">
        <f>-0.5+C7</f>
        <v>-0.5</v>
      </c>
      <c r="D8">
        <f>B8-B7</f>
        <v>0</v>
      </c>
      <c r="E8">
        <f>C8-C7</f>
        <v>-0.5</v>
      </c>
      <c r="F8">
        <f>COS(RADIANS(H4))*D8+SIN(RADIANS(H4))*E8</f>
        <v>-0.30783073766282915</v>
      </c>
      <c r="G8">
        <f>SIN(RADIANS(H4))*D8-COS(RADIANS(H4))*E8</f>
        <v>0.39400537680336095</v>
      </c>
      <c r="H8">
        <f>F8+B7</f>
        <v>-7.3078307376628295</v>
      </c>
      <c r="I8">
        <f>G8+C7</f>
        <v>0.39400537680336095</v>
      </c>
      <c r="L8">
        <f>H23</f>
        <v>-1</v>
      </c>
      <c r="M8">
        <f>I23</f>
        <v>18.125</v>
      </c>
    </row>
    <row r="9" spans="1:13">
      <c r="L9" t="s">
        <v>54</v>
      </c>
      <c r="M9" t="s">
        <v>55</v>
      </c>
    </row>
    <row r="10" spans="1:13">
      <c r="B10">
        <v>69</v>
      </c>
      <c r="C10">
        <f>(B10-50)/8</f>
        <v>2.375</v>
      </c>
      <c r="D10">
        <v>30</v>
      </c>
      <c r="E10">
        <f>(D10-50)/8</f>
        <v>-2.5</v>
      </c>
      <c r="L10">
        <f>(M7-M8)/(L7-L8)</f>
        <v>3.0208333333333335</v>
      </c>
      <c r="M10">
        <f>M8-L10*L8</f>
        <v>21.145833333333332</v>
      </c>
    </row>
    <row r="11" spans="1:13">
      <c r="A11" t="s">
        <v>6</v>
      </c>
    </row>
    <row r="12" spans="1:13">
      <c r="B12" t="s">
        <v>2</v>
      </c>
      <c r="C12" t="s">
        <v>3</v>
      </c>
    </row>
    <row r="13" spans="1:13">
      <c r="B13">
        <f>B14</f>
        <v>-4.625</v>
      </c>
      <c r="C13">
        <f>0.5+C14</f>
        <v>-3</v>
      </c>
      <c r="D13">
        <f>B13-B14</f>
        <v>0</v>
      </c>
      <c r="E13">
        <f>C13-C14</f>
        <v>0.5</v>
      </c>
      <c r="F13">
        <f>COS(RADIANS($H$4+90))*D13+SIN(RADIANS($H$4+90))*E13</f>
        <v>0.39400537680336101</v>
      </c>
      <c r="G13">
        <f>SIN(RADIANS($H$4+90))*D13-COS(RADIANS($H$4+90))*E13</f>
        <v>0.30783073766282915</v>
      </c>
      <c r="H13">
        <f>F13+B14</f>
        <v>-4.2309946231966391</v>
      </c>
      <c r="I13">
        <f>G13+C14</f>
        <v>-3.1921692623371709</v>
      </c>
      <c r="L13" t="s">
        <v>2</v>
      </c>
      <c r="M13" t="s">
        <v>3</v>
      </c>
    </row>
    <row r="14" spans="1:13">
      <c r="B14">
        <f>-7+C10</f>
        <v>-4.625</v>
      </c>
      <c r="C14">
        <f>-1+E10</f>
        <v>-3.5</v>
      </c>
      <c r="D14">
        <f>B14-B14</f>
        <v>0</v>
      </c>
      <c r="E14">
        <f>C14-C14</f>
        <v>0</v>
      </c>
      <c r="F14">
        <f>COS(RADIANS($H$4+90))*D14+SIN(RADIANS($H$4+90))*E14</f>
        <v>0</v>
      </c>
      <c r="G14">
        <f>SIN(RADIANS($H$4+90))*D14-COS(RADIANS($H$4+90))*E14</f>
        <v>0</v>
      </c>
      <c r="H14">
        <f>F14+B14</f>
        <v>-4.625</v>
      </c>
      <c r="I14">
        <f>G14+C14</f>
        <v>-3.5</v>
      </c>
      <c r="L14">
        <f>H14</f>
        <v>-4.625</v>
      </c>
      <c r="M14">
        <f>I14</f>
        <v>-3.5</v>
      </c>
    </row>
    <row r="15" spans="1:13">
      <c r="B15">
        <f>B14</f>
        <v>-4.625</v>
      </c>
      <c r="C15">
        <f>-0.5+C14</f>
        <v>-4</v>
      </c>
      <c r="D15">
        <f>B15-B14</f>
        <v>0</v>
      </c>
      <c r="E15">
        <f>C15-C14</f>
        <v>-0.5</v>
      </c>
      <c r="F15">
        <f>COS(RADIANS($H$4+90))*D15+SIN(RADIANS($H$4+90))*E15</f>
        <v>-0.39400537680336101</v>
      </c>
      <c r="G15">
        <f>SIN(RADIANS($H$4+90))*D15-COS(RADIANS($H$4+90))*E15</f>
        <v>-0.30783073766282915</v>
      </c>
      <c r="H15">
        <f>F15+B14</f>
        <v>-5.0190053768033609</v>
      </c>
      <c r="I15">
        <f>G15+C14</f>
        <v>-3.8078307376628291</v>
      </c>
      <c r="L15">
        <f>H23</f>
        <v>-1</v>
      </c>
      <c r="M15">
        <f>I23</f>
        <v>18.125</v>
      </c>
    </row>
    <row r="16" spans="1:13">
      <c r="L16" t="s">
        <v>54</v>
      </c>
      <c r="M16" t="s">
        <v>55</v>
      </c>
    </row>
    <row r="17" spans="1:18">
      <c r="C17">
        <v>40</v>
      </c>
      <c r="D17">
        <f>(C17-50)/10</f>
        <v>-1</v>
      </c>
      <c r="L17">
        <f>(M14-M15)/(L14-L15)</f>
        <v>5.9655172413793105</v>
      </c>
      <c r="M17">
        <f>M15-L17*L15</f>
        <v>24.09051724137931</v>
      </c>
    </row>
    <row r="18" spans="1:18">
      <c r="C18">
        <v>67</v>
      </c>
      <c r="D18">
        <f>(C18-50)/8</f>
        <v>2.125</v>
      </c>
    </row>
    <row r="19" spans="1:18">
      <c r="A19" t="s">
        <v>7</v>
      </c>
      <c r="C19">
        <v>50</v>
      </c>
      <c r="D19">
        <f>C19/25</f>
        <v>2</v>
      </c>
      <c r="L19" t="s">
        <v>53</v>
      </c>
    </row>
    <row r="20" spans="1:18">
      <c r="G20">
        <v>6</v>
      </c>
      <c r="H20">
        <f>22.5-G20</f>
        <v>16.5</v>
      </c>
      <c r="L20" t="s">
        <v>54</v>
      </c>
      <c r="M20" t="s">
        <v>55</v>
      </c>
      <c r="N20" t="s">
        <v>5</v>
      </c>
      <c r="O20" t="s">
        <v>56</v>
      </c>
    </row>
    <row r="21" spans="1:18">
      <c r="B21" t="s">
        <v>2</v>
      </c>
      <c r="C21" t="s">
        <v>3</v>
      </c>
      <c r="L21">
        <f>(I22-I24)/(H22-H24)</f>
        <v>-3.3759434225912459</v>
      </c>
      <c r="M21">
        <f>I22-L21*H22</f>
        <v>14.749056577408755</v>
      </c>
      <c r="N21">
        <f>DEGREES(ATAN(L21))</f>
        <v>-73.500000000000014</v>
      </c>
      <c r="O21">
        <f>IF(H22&lt;=H24,N21-90,N21+90)</f>
        <v>-163.5</v>
      </c>
    </row>
    <row r="22" spans="1:18">
      <c r="B22">
        <f>D17</f>
        <v>-1</v>
      </c>
      <c r="C22">
        <f>C23-(2+D19)</f>
        <v>14.125</v>
      </c>
      <c r="D22">
        <f>B22-B23</f>
        <v>0</v>
      </c>
      <c r="E22">
        <f>C22-C23</f>
        <v>-4</v>
      </c>
      <c r="F22">
        <f>COS(RADIANS($H$20))*D22+SIN(RADIANS($H$20))*E22</f>
        <v>-1.1360613788156906</v>
      </c>
      <c r="G22">
        <f>SIN(RADIANS($H$20))*D22-COS(RADIANS($H$20))*E22</f>
        <v>3.8352789394727722</v>
      </c>
      <c r="H22">
        <f>F22+B23</f>
        <v>-2.1360613788156906</v>
      </c>
      <c r="I22">
        <f>G22+C23</f>
        <v>21.960278939472772</v>
      </c>
      <c r="L22" t="s">
        <v>57</v>
      </c>
      <c r="N22" t="s">
        <v>58</v>
      </c>
      <c r="Q22" t="s">
        <v>64</v>
      </c>
    </row>
    <row r="23" spans="1:18">
      <c r="B23">
        <f>D17</f>
        <v>-1</v>
      </c>
      <c r="C23">
        <f>16+D18</f>
        <v>18.125</v>
      </c>
      <c r="D23">
        <f>B23-B23</f>
        <v>0</v>
      </c>
      <c r="E23">
        <f>C23-C23</f>
        <v>0</v>
      </c>
      <c r="F23">
        <f t="shared" ref="F23:F24" si="0">COS(RADIANS($H$20))*D23+SIN(RADIANS($H$20))*E23</f>
        <v>0</v>
      </c>
      <c r="G23">
        <f t="shared" ref="G23:G24" si="1">SIN(RADIANS($H$20))*D23-COS(RADIANS($H$20))*E23</f>
        <v>0</v>
      </c>
      <c r="H23">
        <f>F23+B23</f>
        <v>-1</v>
      </c>
      <c r="I23">
        <f>G23+C23</f>
        <v>18.125</v>
      </c>
      <c r="L23" t="s">
        <v>18</v>
      </c>
      <c r="M23" t="s">
        <v>26</v>
      </c>
      <c r="N23" t="s">
        <v>2</v>
      </c>
      <c r="O23" t="s">
        <v>3</v>
      </c>
      <c r="Q23" t="s">
        <v>12</v>
      </c>
      <c r="R23" t="s">
        <v>13</v>
      </c>
    </row>
    <row r="24" spans="1:18">
      <c r="B24">
        <f>D17</f>
        <v>-1</v>
      </c>
      <c r="C24">
        <f>C23+(2+D19)</f>
        <v>22.125</v>
      </c>
      <c r="D24">
        <f>B24-B23</f>
        <v>0</v>
      </c>
      <c r="E24">
        <f>C24-C23</f>
        <v>4</v>
      </c>
      <c r="F24">
        <f t="shared" si="0"/>
        <v>1.1360613788156906</v>
      </c>
      <c r="G24">
        <f t="shared" si="1"/>
        <v>-3.8352789394727722</v>
      </c>
      <c r="H24">
        <f>F24+B23</f>
        <v>0.13606137881569058</v>
      </c>
      <c r="I24">
        <f>G24+C23</f>
        <v>14.289721060527228</v>
      </c>
      <c r="L24">
        <f>COS(RADIANS(O21))</f>
        <v>-0.95881973486819305</v>
      </c>
      <c r="M24">
        <f>SIN(RADIANS(O21))</f>
        <v>-0.28401534470392259</v>
      </c>
      <c r="N24">
        <f>H23</f>
        <v>-1</v>
      </c>
      <c r="O24">
        <f>I23</f>
        <v>18.125</v>
      </c>
      <c r="Q24">
        <f>(O24-O25)/(N24-N25)</f>
        <v>0.29621349496208188</v>
      </c>
      <c r="R24">
        <f>O24-Q24*N24</f>
        <v>18.421213494962082</v>
      </c>
    </row>
    <row r="25" spans="1:18">
      <c r="N25">
        <f>N24+L24</f>
        <v>-1.9588197348681931</v>
      </c>
      <c r="O25">
        <f>O24+M24</f>
        <v>17.840984655296076</v>
      </c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8">
      <c r="A27" t="s">
        <v>10</v>
      </c>
      <c r="L27" t="s">
        <v>59</v>
      </c>
    </row>
    <row r="28" spans="1:18">
      <c r="E28" t="s">
        <v>44</v>
      </c>
      <c r="L28" t="s">
        <v>60</v>
      </c>
      <c r="N28" t="s">
        <v>62</v>
      </c>
    </row>
    <row r="29" spans="1:18">
      <c r="B29" t="s">
        <v>11</v>
      </c>
      <c r="C29" t="s">
        <v>3</v>
      </c>
      <c r="E29" t="s">
        <v>2</v>
      </c>
      <c r="F29" t="s">
        <v>3</v>
      </c>
      <c r="L29" t="s">
        <v>61</v>
      </c>
      <c r="M29">
        <f>DEGREES(ATAN((Q24-L10)/(1+Q24*L10)))</f>
        <v>-55.183675809886651</v>
      </c>
      <c r="N29" t="s">
        <v>63</v>
      </c>
      <c r="O29">
        <f>DEGREES(ATAN((Q24-L17)/(1+Q24*L17)))</f>
        <v>-63.98397979503175</v>
      </c>
    </row>
    <row r="30" spans="1:18">
      <c r="B30">
        <v>7</v>
      </c>
      <c r="C30">
        <f>C7</f>
        <v>0</v>
      </c>
      <c r="E30">
        <f>B30</f>
        <v>7</v>
      </c>
      <c r="F30">
        <f>C30</f>
        <v>0</v>
      </c>
    </row>
    <row r="31" spans="1:18">
      <c r="B31">
        <v>4</v>
      </c>
      <c r="C31">
        <f>C7</f>
        <v>0</v>
      </c>
      <c r="E31">
        <f>E30-100</f>
        <v>-93</v>
      </c>
      <c r="F31">
        <f>F30</f>
        <v>0</v>
      </c>
      <c r="L31" t="s">
        <v>65</v>
      </c>
    </row>
    <row r="32" spans="1:18">
      <c r="L32" t="s">
        <v>2</v>
      </c>
      <c r="M32" t="s">
        <v>3</v>
      </c>
      <c r="N32" t="s">
        <v>58</v>
      </c>
      <c r="P32" t="s">
        <v>66</v>
      </c>
      <c r="R32" t="s">
        <v>67</v>
      </c>
    </row>
    <row r="33" spans="2:19">
      <c r="B33" t="s">
        <v>12</v>
      </c>
      <c r="C33" t="s">
        <v>13</v>
      </c>
      <c r="L33">
        <f>N24</f>
        <v>-1</v>
      </c>
      <c r="M33">
        <f>O24</f>
        <v>18.125</v>
      </c>
      <c r="N33">
        <f>L33-L33</f>
        <v>0</v>
      </c>
      <c r="O33">
        <f>M33-M33</f>
        <v>0</v>
      </c>
      <c r="P33">
        <f>COS(RADIANS($M$29))*N33-SIN(RADIANS($M$29))*O33</f>
        <v>0</v>
      </c>
      <c r="Q33">
        <f>SIN(RADIANS($M$29))*N33+COS(RADIANS($M$29))*O33</f>
        <v>0</v>
      </c>
      <c r="R33">
        <f>P33+L33</f>
        <v>-1</v>
      </c>
      <c r="S33">
        <f>Q33+M33</f>
        <v>18.125</v>
      </c>
    </row>
    <row r="34" spans="2:19">
      <c r="B34">
        <f>(C30-C31)/(B30-B31)</f>
        <v>0</v>
      </c>
      <c r="C34">
        <f>C30-B34*B30</f>
        <v>0</v>
      </c>
      <c r="D34" t="s">
        <v>14</v>
      </c>
      <c r="L34">
        <f>N25</f>
        <v>-1.9588197348681931</v>
      </c>
      <c r="M34">
        <f>O25</f>
        <v>17.840984655296076</v>
      </c>
      <c r="N34">
        <f>(L34-L33)*10</f>
        <v>-9.5881973486819305</v>
      </c>
      <c r="O34">
        <f>(M34-M33)*10</f>
        <v>-2.840153447039242</v>
      </c>
      <c r="P34">
        <f>COS(RADIANS($M$29))*N34-SIN(RADIANS($M$29))*O34</f>
        <v>-7.8060851408668999</v>
      </c>
      <c r="Q34">
        <f>SIN(RADIANS($M$29))*N34+COS(RADIANS($M$29))*O34</f>
        <v>6.250202778593434</v>
      </c>
      <c r="R34">
        <f>P34+L33</f>
        <v>-8.8060851408668999</v>
      </c>
      <c r="S34">
        <f>Q34+M33</f>
        <v>24.375202778593433</v>
      </c>
    </row>
    <row r="35" spans="2:19">
      <c r="B35">
        <f>(I6-I8)/(H6-H8)</f>
        <v>-1.279941632193077</v>
      </c>
      <c r="C35">
        <f>I6-B35*H6</f>
        <v>-8.9595914253515403</v>
      </c>
      <c r="D35" t="s">
        <v>36</v>
      </c>
    </row>
    <row r="36" spans="2:19">
      <c r="L36" t="s">
        <v>68</v>
      </c>
    </row>
    <row r="37" spans="2:19">
      <c r="B37" t="s">
        <v>16</v>
      </c>
      <c r="L37" t="s">
        <v>2</v>
      </c>
      <c r="M37" t="s">
        <v>3</v>
      </c>
      <c r="N37" t="s">
        <v>34</v>
      </c>
      <c r="P37" t="s">
        <v>66</v>
      </c>
      <c r="R37" t="s">
        <v>67</v>
      </c>
    </row>
    <row r="38" spans="2:19">
      <c r="B38" t="s">
        <v>2</v>
      </c>
      <c r="C38" t="s">
        <v>3</v>
      </c>
      <c r="L38">
        <f>N24</f>
        <v>-1</v>
      </c>
      <c r="M38">
        <f>O24</f>
        <v>18.125</v>
      </c>
      <c r="N38">
        <f>L38-L38</f>
        <v>0</v>
      </c>
      <c r="O38">
        <f>M38-M38</f>
        <v>0</v>
      </c>
      <c r="P38">
        <f>COS(RADIANS($O$29))*N38-SIN(RADIANS($O$29))*O38</f>
        <v>0</v>
      </c>
      <c r="Q38">
        <f>SIN(RADIANS($O$29))*N38+COS(RADIANS($O$29))*O38</f>
        <v>0</v>
      </c>
      <c r="R38">
        <f>P38+L38</f>
        <v>-1</v>
      </c>
      <c r="S38">
        <f>Q38+M38</f>
        <v>18.125</v>
      </c>
    </row>
    <row r="39" spans="2:19">
      <c r="B39">
        <f>(C35-C34)/(B34-B35)</f>
        <v>-7.0000000000000009</v>
      </c>
      <c r="C39">
        <f>B35*B39+C35</f>
        <v>0</v>
      </c>
      <c r="L39">
        <f>N25</f>
        <v>-1.9588197348681931</v>
      </c>
      <c r="M39">
        <f>O25</f>
        <v>17.840984655296076</v>
      </c>
      <c r="N39">
        <f>(L39-L38)*10</f>
        <v>-9.5881973486819305</v>
      </c>
      <c r="O39">
        <f>(M39-M38)*10</f>
        <v>-2.840153447039242</v>
      </c>
      <c r="P39">
        <f>COS(RADIANS($O$29))*N39-SIN(RADIANS($O$29))*O39</f>
        <v>-6.7579632787274386</v>
      </c>
      <c r="Q39">
        <f>SIN(RADIANS($O$29))*N39+COS(RADIANS($O$29))*O39</f>
        <v>7.3708840937415072</v>
      </c>
      <c r="R39">
        <f>P39+L38</f>
        <v>-7.7579632787274386</v>
      </c>
      <c r="S39">
        <f>Q39+M38</f>
        <v>25.495884093741509</v>
      </c>
    </row>
    <row r="41" spans="2:19">
      <c r="B41" t="s">
        <v>18</v>
      </c>
      <c r="C41" t="s">
        <v>17</v>
      </c>
      <c r="D41" t="s">
        <v>19</v>
      </c>
      <c r="L41" t="s">
        <v>69</v>
      </c>
    </row>
    <row r="42" spans="2:19">
      <c r="B42">
        <f>B30</f>
        <v>7</v>
      </c>
      <c r="C42">
        <f>C30</f>
        <v>0</v>
      </c>
      <c r="D42" t="s">
        <v>28</v>
      </c>
      <c r="L42" t="s">
        <v>70</v>
      </c>
    </row>
    <row r="43" spans="2:19">
      <c r="B43">
        <f>B39</f>
        <v>-7.0000000000000009</v>
      </c>
      <c r="C43">
        <f>C39</f>
        <v>0</v>
      </c>
      <c r="D43" s="1" t="s">
        <v>29</v>
      </c>
      <c r="L43" t="s">
        <v>12</v>
      </c>
      <c r="M43" t="s">
        <v>13</v>
      </c>
    </row>
    <row r="44" spans="2:19">
      <c r="L44">
        <f>(E50-E51)/(D50-D51)</f>
        <v>0.78128562650671818</v>
      </c>
      <c r="M44">
        <f>E51-L44*D51</f>
        <v>5.4689993855470282</v>
      </c>
    </row>
    <row r="45" spans="2:19">
      <c r="B45" t="s">
        <v>20</v>
      </c>
      <c r="L45" t="s">
        <v>71</v>
      </c>
    </row>
    <row r="46" spans="2:19">
      <c r="B46">
        <f>DEGREES(ATAN(B35))</f>
        <v>-51.999999999999964</v>
      </c>
      <c r="D46" t="s">
        <v>21</v>
      </c>
      <c r="L46">
        <f>DEGREES(ATAN((L44-L10)/(1+L10*L44)))</f>
        <v>-33.683675809886715</v>
      </c>
    </row>
    <row r="47" spans="2:19">
      <c r="B47">
        <f>B46+90</f>
        <v>38.000000000000036</v>
      </c>
      <c r="D47" t="s">
        <v>22</v>
      </c>
      <c r="L47" t="s">
        <v>72</v>
      </c>
    </row>
    <row r="48" spans="2:19">
      <c r="D48" t="s">
        <v>25</v>
      </c>
      <c r="L48" t="s">
        <v>73</v>
      </c>
      <c r="N48" t="s">
        <v>58</v>
      </c>
      <c r="P48" t="s">
        <v>35</v>
      </c>
      <c r="R48" t="s">
        <v>74</v>
      </c>
    </row>
    <row r="49" spans="1:19">
      <c r="B49" t="s">
        <v>23</v>
      </c>
      <c r="C49" t="s">
        <v>24</v>
      </c>
      <c r="D49" t="s">
        <v>18</v>
      </c>
      <c r="E49" t="s">
        <v>26</v>
      </c>
      <c r="L49" t="s">
        <v>2</v>
      </c>
      <c r="M49" t="s">
        <v>3</v>
      </c>
      <c r="N49" t="s">
        <v>2</v>
      </c>
      <c r="O49" t="s">
        <v>3</v>
      </c>
      <c r="P49" t="s">
        <v>2</v>
      </c>
      <c r="Q49" t="s">
        <v>3</v>
      </c>
      <c r="R49" t="s">
        <v>11</v>
      </c>
      <c r="S49" t="s">
        <v>3</v>
      </c>
    </row>
    <row r="50" spans="1:19">
      <c r="B50">
        <v>0</v>
      </c>
      <c r="C50">
        <v>0</v>
      </c>
      <c r="D50">
        <f>B50+B39</f>
        <v>-7.0000000000000009</v>
      </c>
      <c r="E50">
        <f>C50+C39</f>
        <v>0</v>
      </c>
      <c r="L50">
        <f>D50</f>
        <v>-7.0000000000000009</v>
      </c>
      <c r="M50">
        <f>E50</f>
        <v>0</v>
      </c>
      <c r="N50">
        <f>L50-L50</f>
        <v>0</v>
      </c>
      <c r="O50">
        <f>M50-M50</f>
        <v>0</v>
      </c>
      <c r="P50">
        <f>COS(RADIANS($L$46))*N50-SIN(RADIANS($L$46))*O50</f>
        <v>0</v>
      </c>
      <c r="Q50">
        <f>SIN(RADIANS($L$46))*N50+COS(RADIANS($L$46))*O50</f>
        <v>0</v>
      </c>
      <c r="R50">
        <f>P50+L50</f>
        <v>-7.0000000000000009</v>
      </c>
      <c r="S50">
        <f>Q50+M50</f>
        <v>0</v>
      </c>
    </row>
    <row r="51" spans="1:19">
      <c r="B51">
        <f>COS(RADIANS(B47))</f>
        <v>0.78801075360672157</v>
      </c>
      <c r="C51">
        <f>SIN(RADIANS(B47))</f>
        <v>0.61566147532565874</v>
      </c>
      <c r="D51">
        <f>B51+B39</f>
        <v>-6.2119892463932791</v>
      </c>
      <c r="E51">
        <f>C51+C39</f>
        <v>0.61566147532565874</v>
      </c>
      <c r="L51">
        <f>D51</f>
        <v>-6.2119892463932791</v>
      </c>
      <c r="M51">
        <f>E51</f>
        <v>0.61566147532565874</v>
      </c>
      <c r="N51">
        <f>(L51-L50)*10</f>
        <v>7.8801075360672179</v>
      </c>
      <c r="O51">
        <f>(M51-M50)*10</f>
        <v>6.1566147532565871</v>
      </c>
      <c r="P51">
        <f>COS(RADIANS($L$46))*N51-SIN(RADIANS($L$46))*O51</f>
        <v>9.9716373079862031</v>
      </c>
      <c r="Q51">
        <f>SIN(RADIANS($L$46))*N51+COS(RADIANS($L$46))*O51</f>
        <v>0.75262832658470824</v>
      </c>
      <c r="R51">
        <f>P51+L50</f>
        <v>2.9716373079862022</v>
      </c>
      <c r="S51">
        <f>Q51+M50</f>
        <v>0.75262832658470824</v>
      </c>
    </row>
    <row r="52" spans="1:19">
      <c r="L52" t="s">
        <v>76</v>
      </c>
      <c r="R52" t="s">
        <v>47</v>
      </c>
    </row>
    <row r="53" spans="1:19">
      <c r="B53" t="s">
        <v>27</v>
      </c>
      <c r="L53" t="s">
        <v>12</v>
      </c>
      <c r="M53" t="s">
        <v>13</v>
      </c>
    </row>
    <row r="54" spans="1:19">
      <c r="B54" t="s">
        <v>12</v>
      </c>
      <c r="C54" t="s">
        <v>13</v>
      </c>
      <c r="L54">
        <f>(S50-S51)/(R50-R51)</f>
        <v>7.5476905480901746E-2</v>
      </c>
      <c r="M54">
        <f>S51-L54*R51</f>
        <v>0.52833833836631239</v>
      </c>
    </row>
    <row r="55" spans="1:19">
      <c r="B55">
        <f>B34</f>
        <v>0</v>
      </c>
      <c r="C55">
        <f>C34</f>
        <v>0</v>
      </c>
      <c r="D55" t="s">
        <v>30</v>
      </c>
      <c r="L55" t="s">
        <v>2</v>
      </c>
      <c r="M55" t="s">
        <v>3</v>
      </c>
    </row>
    <row r="56" spans="1:19">
      <c r="B56">
        <f>(E50-E51)/(D50-D51)</f>
        <v>0.78128562650671818</v>
      </c>
      <c r="C56">
        <f>E51-B56*D51</f>
        <v>5.4689993855470282</v>
      </c>
      <c r="D56" t="s">
        <v>31</v>
      </c>
      <c r="L56">
        <f>R50</f>
        <v>-7.0000000000000009</v>
      </c>
      <c r="M56">
        <f>S50</f>
        <v>0</v>
      </c>
    </row>
    <row r="57" spans="1:19">
      <c r="L57">
        <v>-20</v>
      </c>
      <c r="M57">
        <f>L54*L57+M54</f>
        <v>-0.98119977125172253</v>
      </c>
    </row>
    <row r="58" spans="1:19">
      <c r="B58">
        <f>DEGREES(ATAN((B56-B55)/(1+B55*B56)))</f>
        <v>38.000000000000028</v>
      </c>
      <c r="D58" t="s">
        <v>32</v>
      </c>
    </row>
    <row r="59" spans="1:19">
      <c r="L59" t="s">
        <v>77</v>
      </c>
    </row>
    <row r="60" spans="1:19">
      <c r="B60" t="s">
        <v>33</v>
      </c>
      <c r="D60" t="s">
        <v>34</v>
      </c>
      <c r="F60" t="s">
        <v>35</v>
      </c>
      <c r="H60" t="s">
        <v>9</v>
      </c>
      <c r="L60" t="s">
        <v>78</v>
      </c>
    </row>
    <row r="61" spans="1:19">
      <c r="B61" t="s">
        <v>2</v>
      </c>
      <c r="C61" t="s">
        <v>3</v>
      </c>
      <c r="D61" t="s">
        <v>2</v>
      </c>
      <c r="E61" t="s">
        <v>3</v>
      </c>
      <c r="F61" t="s">
        <v>2</v>
      </c>
      <c r="G61" t="s">
        <v>3</v>
      </c>
      <c r="H61" t="s">
        <v>2</v>
      </c>
      <c r="I61" t="s">
        <v>3</v>
      </c>
      <c r="L61" t="s">
        <v>12</v>
      </c>
      <c r="M61" t="s">
        <v>13</v>
      </c>
    </row>
    <row r="62" spans="1:19">
      <c r="B62">
        <f>D50</f>
        <v>-7.0000000000000009</v>
      </c>
      <c r="C62">
        <f>E50</f>
        <v>0</v>
      </c>
      <c r="D62">
        <f>B62-B62</f>
        <v>0</v>
      </c>
      <c r="E62">
        <f>C62-C62</f>
        <v>0</v>
      </c>
      <c r="F62">
        <v>0</v>
      </c>
      <c r="G62">
        <v>0</v>
      </c>
      <c r="H62">
        <f>F62+B62</f>
        <v>-7.0000000000000009</v>
      </c>
      <c r="I62">
        <f>G62+C62</f>
        <v>0</v>
      </c>
      <c r="L62">
        <f>(E125-E126)/(D125-D126)</f>
        <v>-1.2799416321930788</v>
      </c>
      <c r="M62">
        <f>E125-L62*D125</f>
        <v>-9.4197300488929905</v>
      </c>
    </row>
    <row r="63" spans="1:19">
      <c r="B63">
        <f>D51</f>
        <v>-6.2119892463932791</v>
      </c>
      <c r="C63">
        <f>E51</f>
        <v>0.61566147532565874</v>
      </c>
      <c r="D63">
        <f>B63-B62</f>
        <v>0.78801075360672179</v>
      </c>
      <c r="E63">
        <f>C63-C62</f>
        <v>0.61566147532565874</v>
      </c>
      <c r="F63">
        <f>COS(RADIANS(B58))*D63-SIN(RADIANS(B58))*E63</f>
        <v>0.24192189559966681</v>
      </c>
      <c r="G63">
        <f>SIN(RADIANS(B58))*D63+COS(RADIANS(B58))*E63</f>
        <v>0.97029572627599681</v>
      </c>
      <c r="H63">
        <f>F63+B62</f>
        <v>-6.758078104400334</v>
      </c>
      <c r="I63">
        <f>G63+C62</f>
        <v>0.97029572627599681</v>
      </c>
      <c r="L63" t="s">
        <v>79</v>
      </c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L64">
        <f>DEGREES(ATAN((L62-L17)/(1+L17*L62)))</f>
        <v>47.516020204968171</v>
      </c>
    </row>
    <row r="65" spans="2:19">
      <c r="B65" t="s">
        <v>11</v>
      </c>
      <c r="C65" t="s">
        <v>3</v>
      </c>
      <c r="D65" t="s">
        <v>37</v>
      </c>
      <c r="L65" t="s">
        <v>80</v>
      </c>
    </row>
    <row r="66" spans="2:19">
      <c r="B66">
        <f>H62</f>
        <v>-7.0000000000000009</v>
      </c>
      <c r="C66">
        <f>I62</f>
        <v>0</v>
      </c>
      <c r="L66" t="s">
        <v>73</v>
      </c>
      <c r="N66" t="s">
        <v>58</v>
      </c>
      <c r="P66" t="s">
        <v>35</v>
      </c>
      <c r="R66" t="s">
        <v>74</v>
      </c>
    </row>
    <row r="67" spans="2:19">
      <c r="B67">
        <f>H63</f>
        <v>-6.758078104400334</v>
      </c>
      <c r="C67">
        <f>I63</f>
        <v>0.97029572627599681</v>
      </c>
      <c r="L67" t="s">
        <v>2</v>
      </c>
      <c r="M67" t="s">
        <v>3</v>
      </c>
      <c r="N67" t="s">
        <v>2</v>
      </c>
      <c r="O67" t="s">
        <v>3</v>
      </c>
      <c r="P67" t="s">
        <v>2</v>
      </c>
      <c r="Q67" t="s">
        <v>3</v>
      </c>
      <c r="R67" t="s">
        <v>11</v>
      </c>
      <c r="S67" t="s">
        <v>3</v>
      </c>
    </row>
    <row r="68" spans="2:19">
      <c r="L68">
        <f>D125</f>
        <v>-4.625</v>
      </c>
      <c r="M68">
        <f>E125</f>
        <v>-3.5</v>
      </c>
      <c r="N68">
        <f>L68-L68</f>
        <v>0</v>
      </c>
      <c r="O68">
        <f>M68-M68</f>
        <v>0</v>
      </c>
      <c r="P68">
        <f>COS(RADIANS($L$64))*N68-SIN(RADIANS($L$64))*O68</f>
        <v>0</v>
      </c>
      <c r="Q68">
        <f>SIN(RADIANS($L$64))*N68+COS(RADIANS($L$64))*O68</f>
        <v>0</v>
      </c>
      <c r="R68">
        <f>P68+L68</f>
        <v>-4.625</v>
      </c>
      <c r="S68">
        <f>Q68+M68</f>
        <v>-3.5</v>
      </c>
    </row>
    <row r="69" spans="2:19">
      <c r="B69" t="s">
        <v>12</v>
      </c>
      <c r="C69" t="s">
        <v>13</v>
      </c>
      <c r="L69">
        <f>D126</f>
        <v>-5.2406614753256582</v>
      </c>
      <c r="M69">
        <f>E126</f>
        <v>-2.7119892463932782</v>
      </c>
      <c r="N69">
        <f>(L69-L68)*10</f>
        <v>-6.1566147532565818</v>
      </c>
      <c r="O69">
        <f>(M69-M68)*10</f>
        <v>7.8801075360672179</v>
      </c>
      <c r="P69">
        <f>COS(RADIANS($L$64))*N69-SIN(RADIANS($L$64))*O69</f>
        <v>-9.9693923234461934</v>
      </c>
      <c r="Q69">
        <f>SIN(RADIANS($L$64))*N69+COS(RADIANS($L$64))*O69</f>
        <v>0.78180349270904692</v>
      </c>
      <c r="R69">
        <f>P69+L68</f>
        <v>-14.594392323446193</v>
      </c>
      <c r="S69">
        <f>Q69+M68</f>
        <v>-2.7181965072909531</v>
      </c>
    </row>
    <row r="70" spans="2:19">
      <c r="B70">
        <f>(C66-C67)/(B66-B67)</f>
        <v>4.0107809335358597</v>
      </c>
      <c r="C70">
        <f>C66-B70*B66</f>
        <v>28.075466534751023</v>
      </c>
      <c r="D70" t="s">
        <v>38</v>
      </c>
      <c r="L70" t="s">
        <v>89</v>
      </c>
      <c r="R70" t="s">
        <v>47</v>
      </c>
    </row>
    <row r="71" spans="2:19">
      <c r="B71">
        <f>(I22-I24)/(H22-H24)</f>
        <v>-3.3759434225912459</v>
      </c>
      <c r="C71">
        <f>I24-B71*H24</f>
        <v>14.749056577408755</v>
      </c>
      <c r="D71" t="s">
        <v>15</v>
      </c>
      <c r="L71" t="s">
        <v>12</v>
      </c>
      <c r="M71" t="s">
        <v>13</v>
      </c>
    </row>
    <row r="72" spans="2:19">
      <c r="L72">
        <f>(S68-S69)/(R68-R69)</f>
        <v>-7.8420375820739602E-2</v>
      </c>
      <c r="M72">
        <f>S69-L72*R69</f>
        <v>-3.8626942381709206</v>
      </c>
    </row>
    <row r="73" spans="2:19">
      <c r="B73" t="s">
        <v>16</v>
      </c>
      <c r="L73" t="s">
        <v>2</v>
      </c>
      <c r="M73" t="s">
        <v>3</v>
      </c>
    </row>
    <row r="74" spans="2:19">
      <c r="B74" t="s">
        <v>2</v>
      </c>
      <c r="C74" t="s">
        <v>3</v>
      </c>
      <c r="L74">
        <f>R68</f>
        <v>-4.625</v>
      </c>
      <c r="M74">
        <f>S68</f>
        <v>-3.5</v>
      </c>
    </row>
    <row r="75" spans="2:19">
      <c r="B75">
        <f>(C71-C70)/(B70-B71)</f>
        <v>-1.8041027815378463</v>
      </c>
      <c r="C75">
        <f>B71*B75+C71</f>
        <v>20.83960549642002</v>
      </c>
      <c r="L75">
        <v>20</v>
      </c>
      <c r="M75">
        <f>L72*L75+M72</f>
        <v>-5.431101754585713</v>
      </c>
    </row>
    <row r="77" spans="2:19">
      <c r="B77" t="s">
        <v>18</v>
      </c>
      <c r="C77" t="s">
        <v>17</v>
      </c>
      <c r="D77" t="s">
        <v>19</v>
      </c>
      <c r="L77" s="5"/>
      <c r="M77" s="5"/>
      <c r="N77" s="5"/>
      <c r="O77" s="5"/>
      <c r="P77" s="5"/>
      <c r="Q77" s="5"/>
      <c r="R77" s="5"/>
      <c r="S77" s="5"/>
    </row>
    <row r="78" spans="2:19">
      <c r="B78">
        <f>B66</f>
        <v>-7.0000000000000009</v>
      </c>
      <c r="C78">
        <f>C66</f>
        <v>0</v>
      </c>
      <c r="D78" t="s">
        <v>28</v>
      </c>
    </row>
    <row r="79" spans="2:19">
      <c r="B79">
        <f>B75</f>
        <v>-1.8041027815378463</v>
      </c>
      <c r="C79">
        <f>C75</f>
        <v>20.83960549642002</v>
      </c>
      <c r="D79" s="1" t="s">
        <v>29</v>
      </c>
      <c r="M79" t="s">
        <v>47</v>
      </c>
      <c r="N79" t="s">
        <v>88</v>
      </c>
      <c r="O79" t="s">
        <v>5</v>
      </c>
    </row>
    <row r="80" spans="2:19">
      <c r="L80" t="s">
        <v>85</v>
      </c>
    </row>
    <row r="81" spans="2:15">
      <c r="B81" t="s">
        <v>20</v>
      </c>
      <c r="L81" t="s">
        <v>75</v>
      </c>
      <c r="N81">
        <f>B34</f>
        <v>0</v>
      </c>
      <c r="O81">
        <f>DEGREES(ATAN((N82-N81)/(1+N81*N82)))</f>
        <v>-42.999999999999879</v>
      </c>
    </row>
    <row r="82" spans="2:15">
      <c r="B82">
        <f>DEGREES(ATAN(B71))</f>
        <v>-73.500000000000014</v>
      </c>
      <c r="D82" t="s">
        <v>21</v>
      </c>
      <c r="L82" t="s">
        <v>84</v>
      </c>
      <c r="N82">
        <f>(I98-I99)/(H98-H99)</f>
        <v>-0.93251508613765755</v>
      </c>
    </row>
    <row r="83" spans="2:15">
      <c r="B83">
        <f>IF(H22&lt;=H24,B82-90,B82+90)</f>
        <v>-163.5</v>
      </c>
      <c r="D83" t="s">
        <v>22</v>
      </c>
      <c r="L83" t="s">
        <v>83</v>
      </c>
    </row>
    <row r="84" spans="2:15">
      <c r="D84" t="s">
        <v>25</v>
      </c>
      <c r="L84" t="s">
        <v>75</v>
      </c>
      <c r="N84">
        <f>L54</f>
        <v>7.5476905480901746E-2</v>
      </c>
      <c r="O84">
        <f>DEGREES(ATAN((N85-N84)/(1+N84*N85)))</f>
        <v>-42.999999999999872</v>
      </c>
    </row>
    <row r="85" spans="2:15">
      <c r="B85" t="s">
        <v>23</v>
      </c>
      <c r="C85" t="s">
        <v>24</v>
      </c>
      <c r="D85" t="s">
        <v>18</v>
      </c>
      <c r="E85" t="s">
        <v>26</v>
      </c>
      <c r="L85" t="s">
        <v>84</v>
      </c>
      <c r="N85">
        <f>(S33-S34)/(R33-R34)</f>
        <v>-0.80068339837494018</v>
      </c>
    </row>
    <row r="86" spans="2:15">
      <c r="B86">
        <v>0</v>
      </c>
      <c r="C86">
        <v>0</v>
      </c>
      <c r="D86">
        <f>B86+B75</f>
        <v>-1.8041027815378463</v>
      </c>
      <c r="E86">
        <f>C86+C75</f>
        <v>20.83960549642002</v>
      </c>
      <c r="L86" t="s">
        <v>86</v>
      </c>
    </row>
    <row r="87" spans="2:15">
      <c r="B87">
        <f>COS(RADIANS(B83))</f>
        <v>-0.95881973486819305</v>
      </c>
      <c r="C87">
        <f>SIN(RADIANS(B83))</f>
        <v>-0.28401534470392259</v>
      </c>
      <c r="D87">
        <f>B87+B75</f>
        <v>-2.7629225164060394</v>
      </c>
      <c r="E87">
        <f>C87+C75</f>
        <v>20.555590151716096</v>
      </c>
      <c r="L87" t="s">
        <v>75</v>
      </c>
      <c r="N87">
        <f>B109</f>
        <v>0</v>
      </c>
      <c r="O87">
        <f>DEGREES(ATAN((N88-N87)/(1+N87*N88)))</f>
        <v>-43.000000000000007</v>
      </c>
    </row>
    <row r="88" spans="2:15">
      <c r="L88" t="s">
        <v>84</v>
      </c>
      <c r="N88">
        <f>(I173-I174)/(H173-H174)</f>
        <v>-0.93251508613766187</v>
      </c>
    </row>
    <row r="89" spans="2:15">
      <c r="B89" t="s">
        <v>27</v>
      </c>
      <c r="L89" t="s">
        <v>87</v>
      </c>
    </row>
    <row r="90" spans="2:15">
      <c r="B90" t="s">
        <v>12</v>
      </c>
      <c r="C90" t="s">
        <v>13</v>
      </c>
      <c r="L90" t="s">
        <v>75</v>
      </c>
      <c r="N90">
        <f>L72</f>
        <v>-7.8420375820739602E-2</v>
      </c>
      <c r="O90">
        <f>DEGREES(ATAN((N91-N90)/(1+N90*N91)))</f>
        <v>-42.999999999999837</v>
      </c>
    </row>
    <row r="91" spans="2:15">
      <c r="B91">
        <f>B70</f>
        <v>4.0107809335358597</v>
      </c>
      <c r="C91">
        <f>C70</f>
        <v>28.075466534751023</v>
      </c>
      <c r="D91" t="s">
        <v>30</v>
      </c>
      <c r="L91" t="s">
        <v>84</v>
      </c>
      <c r="N91">
        <f>(S38-S39)/(R38-R39)</f>
        <v>-1.090696085452759</v>
      </c>
    </row>
    <row r="92" spans="2:15">
      <c r="B92">
        <f>(E86-E87)/(D86-D87)</f>
        <v>0.29621349496208188</v>
      </c>
      <c r="C92">
        <f>E87-B92*D87</f>
        <v>21.374005086610158</v>
      </c>
      <c r="D92" t="s">
        <v>31</v>
      </c>
    </row>
    <row r="94" spans="2:15">
      <c r="B94">
        <f>DEGREES(ATAN((B92-B91)/(1+B91*B92)))</f>
        <v>-59.499999999999964</v>
      </c>
      <c r="D94" t="s">
        <v>32</v>
      </c>
    </row>
    <row r="96" spans="2:15">
      <c r="B96" t="s">
        <v>33</v>
      </c>
      <c r="D96" t="s">
        <v>34</v>
      </c>
      <c r="F96" t="s">
        <v>35</v>
      </c>
      <c r="H96" t="s">
        <v>9</v>
      </c>
    </row>
    <row r="97" spans="1:10">
      <c r="B97" t="s">
        <v>2</v>
      </c>
      <c r="C97" t="s">
        <v>3</v>
      </c>
      <c r="D97" t="s">
        <v>2</v>
      </c>
      <c r="E97" t="s">
        <v>3</v>
      </c>
      <c r="F97" t="s">
        <v>2</v>
      </c>
      <c r="G97" t="s">
        <v>3</v>
      </c>
      <c r="H97" t="s">
        <v>2</v>
      </c>
      <c r="I97" t="s">
        <v>3</v>
      </c>
    </row>
    <row r="98" spans="1:10">
      <c r="B98">
        <f>D86</f>
        <v>-1.8041027815378463</v>
      </c>
      <c r="C98">
        <f>E86</f>
        <v>20.83960549642002</v>
      </c>
      <c r="D98">
        <f>B98-B98</f>
        <v>0</v>
      </c>
      <c r="E98">
        <f>C98-C98</f>
        <v>0</v>
      </c>
      <c r="F98">
        <v>0</v>
      </c>
      <c r="G98">
        <v>0</v>
      </c>
      <c r="H98">
        <f>F98+B98</f>
        <v>-1.8041027815378463</v>
      </c>
      <c r="I98">
        <f>G98+C98</f>
        <v>20.83960549642002</v>
      </c>
    </row>
    <row r="99" spans="1:10">
      <c r="B99">
        <f>D87</f>
        <v>-2.7629225164060394</v>
      </c>
      <c r="C99">
        <f>E87</f>
        <v>20.555590151716096</v>
      </c>
      <c r="D99">
        <f>(B99-B98)*10</f>
        <v>-9.5881973486819305</v>
      </c>
      <c r="E99">
        <f>(C99-C98)*10</f>
        <v>-2.840153447039242</v>
      </c>
      <c r="F99">
        <f>COS(RADIANS(B94))*D99-SIN(RADIANS(B94))*E99</f>
        <v>-7.3135370161917228</v>
      </c>
      <c r="G99">
        <f>SIN(RADIANS(B94))*D99+COS(RADIANS(B94))*E99</f>
        <v>6.8199836006249717</v>
      </c>
      <c r="H99">
        <f>F99+B98</f>
        <v>-9.11763979772957</v>
      </c>
      <c r="I99">
        <f>G99+C98</f>
        <v>27.659589097044993</v>
      </c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t="s">
        <v>39</v>
      </c>
    </row>
    <row r="103" spans="1:10">
      <c r="E103" t="s">
        <v>44</v>
      </c>
    </row>
    <row r="104" spans="1:10">
      <c r="B104" t="s">
        <v>11</v>
      </c>
      <c r="C104" t="s">
        <v>3</v>
      </c>
      <c r="E104" t="s">
        <v>2</v>
      </c>
      <c r="F104" t="s">
        <v>3</v>
      </c>
    </row>
    <row r="105" spans="1:10">
      <c r="B105">
        <v>-12</v>
      </c>
      <c r="C105">
        <f>C14</f>
        <v>-3.5</v>
      </c>
      <c r="E105">
        <f>B105</f>
        <v>-12</v>
      </c>
      <c r="F105">
        <f>C105</f>
        <v>-3.5</v>
      </c>
    </row>
    <row r="106" spans="1:10">
      <c r="B106">
        <f>B105+3</f>
        <v>-9</v>
      </c>
      <c r="C106">
        <f>C105</f>
        <v>-3.5</v>
      </c>
      <c r="E106">
        <f>E105+100</f>
        <v>88</v>
      </c>
      <c r="F106">
        <f>F105</f>
        <v>-3.5</v>
      </c>
    </row>
    <row r="108" spans="1:10">
      <c r="B108" t="s">
        <v>12</v>
      </c>
      <c r="C108" t="s">
        <v>13</v>
      </c>
    </row>
    <row r="109" spans="1:10">
      <c r="B109">
        <f>(C105-C106)/(B105-B106)</f>
        <v>0</v>
      </c>
      <c r="C109">
        <f>C105-B109*B105</f>
        <v>-3.5</v>
      </c>
      <c r="D109" t="s">
        <v>41</v>
      </c>
    </row>
    <row r="110" spans="1:10">
      <c r="B110">
        <f>(I13-I15)/(H13-H15)</f>
        <v>0.7812856265067174</v>
      </c>
      <c r="C110">
        <f>I15-B110*H15</f>
        <v>0.11344602259356806</v>
      </c>
      <c r="D110" t="s">
        <v>40</v>
      </c>
    </row>
    <row r="112" spans="1:10">
      <c r="B112" t="s">
        <v>16</v>
      </c>
    </row>
    <row r="113" spans="2:5">
      <c r="B113" t="s">
        <v>2</v>
      </c>
      <c r="C113" t="s">
        <v>3</v>
      </c>
    </row>
    <row r="114" spans="2:5">
      <c r="B114">
        <f>(C110-C109)/(B109-B110)</f>
        <v>-4.625</v>
      </c>
      <c r="C114">
        <f>B110*B114+C110</f>
        <v>-3.5</v>
      </c>
    </row>
    <row r="116" spans="2:5">
      <c r="B116" t="s">
        <v>18</v>
      </c>
      <c r="C116" t="s">
        <v>17</v>
      </c>
      <c r="D116" t="s">
        <v>19</v>
      </c>
    </row>
    <row r="117" spans="2:5">
      <c r="B117">
        <f>B105</f>
        <v>-12</v>
      </c>
      <c r="C117">
        <f>C105</f>
        <v>-3.5</v>
      </c>
      <c r="D117" t="s">
        <v>28</v>
      </c>
    </row>
    <row r="118" spans="2:5">
      <c r="B118">
        <f>B114</f>
        <v>-4.625</v>
      </c>
      <c r="C118">
        <f>C114</f>
        <v>-3.5</v>
      </c>
      <c r="D118" s="1" t="s">
        <v>29</v>
      </c>
    </row>
    <row r="120" spans="2:5">
      <c r="B120" t="s">
        <v>20</v>
      </c>
    </row>
    <row r="121" spans="2:5">
      <c r="B121">
        <f>DEGREES(ATAN(B110))</f>
        <v>38</v>
      </c>
      <c r="D121" t="s">
        <v>21</v>
      </c>
    </row>
    <row r="122" spans="2:5">
      <c r="B122">
        <f>B121+90</f>
        <v>128</v>
      </c>
      <c r="D122" t="s">
        <v>22</v>
      </c>
    </row>
    <row r="123" spans="2:5">
      <c r="D123" t="s">
        <v>25</v>
      </c>
    </row>
    <row r="124" spans="2:5">
      <c r="B124" t="s">
        <v>23</v>
      </c>
      <c r="C124" t="s">
        <v>24</v>
      </c>
      <c r="D124" t="s">
        <v>18</v>
      </c>
      <c r="E124" t="s">
        <v>26</v>
      </c>
    </row>
    <row r="125" spans="2:5">
      <c r="B125">
        <v>0</v>
      </c>
      <c r="C125">
        <v>0</v>
      </c>
      <c r="D125">
        <f>B125+B114</f>
        <v>-4.625</v>
      </c>
      <c r="E125">
        <f>C125+C114</f>
        <v>-3.5</v>
      </c>
    </row>
    <row r="126" spans="2:5">
      <c r="B126">
        <f>COS(RADIANS(B122))</f>
        <v>-0.61566147532565829</v>
      </c>
      <c r="C126">
        <f>SIN(RADIANS(B122))</f>
        <v>0.78801075360672201</v>
      </c>
      <c r="D126">
        <f>B126+B114</f>
        <v>-5.2406614753256582</v>
      </c>
      <c r="E126">
        <f>C126+C114</f>
        <v>-2.7119892463932782</v>
      </c>
    </row>
    <row r="128" spans="2:5">
      <c r="B128" t="s">
        <v>27</v>
      </c>
    </row>
    <row r="129" spans="1:10">
      <c r="B129" t="s">
        <v>12</v>
      </c>
      <c r="C129" t="s">
        <v>13</v>
      </c>
    </row>
    <row r="130" spans="1:10">
      <c r="B130">
        <f>B109</f>
        <v>0</v>
      </c>
      <c r="C130">
        <f>C109</f>
        <v>-3.5</v>
      </c>
      <c r="D130" t="s">
        <v>30</v>
      </c>
    </row>
    <row r="131" spans="1:10">
      <c r="B131">
        <f>(E125-E126)/(D125-D126)</f>
        <v>-1.2799416321930788</v>
      </c>
      <c r="C131">
        <f>E126-B131*D126</f>
        <v>-9.4197300488929905</v>
      </c>
      <c r="D131" t="s">
        <v>31</v>
      </c>
    </row>
    <row r="133" spans="1:10">
      <c r="B133">
        <f>DEGREES(ATAN((B131-B130)/(1+B130*B131)))</f>
        <v>-52</v>
      </c>
      <c r="D133" t="s">
        <v>32</v>
      </c>
    </row>
    <row r="135" spans="1:10">
      <c r="B135" t="s">
        <v>33</v>
      </c>
      <c r="D135" t="s">
        <v>34</v>
      </c>
      <c r="F135" t="s">
        <v>35</v>
      </c>
      <c r="H135" t="s">
        <v>9</v>
      </c>
    </row>
    <row r="136" spans="1:10">
      <c r="B136" t="s">
        <v>2</v>
      </c>
      <c r="C136" t="s">
        <v>3</v>
      </c>
      <c r="D136" t="s">
        <v>2</v>
      </c>
      <c r="E136" t="s">
        <v>3</v>
      </c>
      <c r="F136" t="s">
        <v>2</v>
      </c>
      <c r="G136" t="s">
        <v>3</v>
      </c>
      <c r="H136" t="s">
        <v>2</v>
      </c>
      <c r="I136" t="s">
        <v>3</v>
      </c>
    </row>
    <row r="137" spans="1:10">
      <c r="B137">
        <f>D125</f>
        <v>-4.625</v>
      </c>
      <c r="C137">
        <f>E125</f>
        <v>-3.5</v>
      </c>
      <c r="D137">
        <f>B137-B137</f>
        <v>0</v>
      </c>
      <c r="E137">
        <f>C137-C137</f>
        <v>0</v>
      </c>
      <c r="F137">
        <v>0</v>
      </c>
      <c r="G137">
        <v>0</v>
      </c>
      <c r="H137">
        <f>F137+B137</f>
        <v>-4.625</v>
      </c>
      <c r="I137">
        <f>G137+C137</f>
        <v>-3.5</v>
      </c>
    </row>
    <row r="138" spans="1:10">
      <c r="B138">
        <f>D126</f>
        <v>-5.2406614753256582</v>
      </c>
      <c r="C138">
        <f>E126</f>
        <v>-2.7119892463932782</v>
      </c>
      <c r="D138">
        <f>B138-B137</f>
        <v>-0.61566147532565818</v>
      </c>
      <c r="E138">
        <f>C138-C137</f>
        <v>0.78801075360672179</v>
      </c>
      <c r="F138">
        <f>COS(RADIANS(B133))*D138-SIN(RADIANS(B133))*E138</f>
        <v>0.2419218955996677</v>
      </c>
      <c r="G138">
        <f>SIN(RADIANS(B133))*D138+COS(RADIANS(B133))*E138</f>
        <v>0.97029572627599636</v>
      </c>
      <c r="H138">
        <f>F138+B137</f>
        <v>-4.3830781044003322</v>
      </c>
      <c r="I138">
        <f>G138+C137</f>
        <v>-2.5297042737240036</v>
      </c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B140" t="s">
        <v>11</v>
      </c>
      <c r="C140" t="s">
        <v>3</v>
      </c>
      <c r="D140" t="s">
        <v>37</v>
      </c>
    </row>
    <row r="141" spans="1:10">
      <c r="B141">
        <f>H137</f>
        <v>-4.625</v>
      </c>
      <c r="C141">
        <f>I137</f>
        <v>-3.5</v>
      </c>
    </row>
    <row r="142" spans="1:10">
      <c r="B142">
        <f>H138</f>
        <v>-4.3830781044003322</v>
      </c>
      <c r="C142">
        <f>I138</f>
        <v>-2.5297042737240036</v>
      </c>
    </row>
    <row r="144" spans="1:10">
      <c r="B144" t="s">
        <v>12</v>
      </c>
      <c r="C144" t="s">
        <v>13</v>
      </c>
    </row>
    <row r="145" spans="2:5">
      <c r="B145">
        <f>(C141-C142)/(B141-B142)</f>
        <v>4.0107809335358429</v>
      </c>
      <c r="C145">
        <f>C141-B145*B141</f>
        <v>15.049861817603272</v>
      </c>
      <c r="D145" t="s">
        <v>42</v>
      </c>
    </row>
    <row r="146" spans="2:5">
      <c r="B146">
        <f>(I22-I24)/(H22-H24)</f>
        <v>-3.3759434225912459</v>
      </c>
      <c r="C146">
        <f>I24-B146*H24</f>
        <v>14.749056577408755</v>
      </c>
      <c r="D146" t="s">
        <v>15</v>
      </c>
    </row>
    <row r="148" spans="2:5">
      <c r="B148" t="s">
        <v>16</v>
      </c>
    </row>
    <row r="149" spans="2:5">
      <c r="B149" t="s">
        <v>2</v>
      </c>
      <c r="C149" t="s">
        <v>3</v>
      </c>
    </row>
    <row r="150" spans="2:5">
      <c r="B150">
        <f>(C146-C145)/(B145-B146)</f>
        <v>-4.0722413033458776E-2</v>
      </c>
      <c r="C150">
        <f>B146*B150+C146</f>
        <v>14.886533139841104</v>
      </c>
    </row>
    <row r="152" spans="2:5">
      <c r="B152" t="s">
        <v>18</v>
      </c>
      <c r="C152" t="s">
        <v>17</v>
      </c>
      <c r="D152" t="s">
        <v>19</v>
      </c>
    </row>
    <row r="153" spans="2:5">
      <c r="B153">
        <f>B141</f>
        <v>-4.625</v>
      </c>
      <c r="C153">
        <f>C141</f>
        <v>-3.5</v>
      </c>
      <c r="D153" t="s">
        <v>28</v>
      </c>
    </row>
    <row r="154" spans="2:5">
      <c r="B154">
        <f>B150</f>
        <v>-4.0722413033458776E-2</v>
      </c>
      <c r="C154">
        <f>C150</f>
        <v>14.886533139841104</v>
      </c>
      <c r="D154" s="1" t="s">
        <v>29</v>
      </c>
    </row>
    <row r="156" spans="2:5">
      <c r="B156" t="s">
        <v>20</v>
      </c>
    </row>
    <row r="157" spans="2:5">
      <c r="B157">
        <f>DEGREES(ATAN(B146))</f>
        <v>-73.500000000000014</v>
      </c>
      <c r="D157" t="s">
        <v>21</v>
      </c>
    </row>
    <row r="158" spans="2:5">
      <c r="B158">
        <f>IF(H22&lt;=H24,B157-90,B157+90)</f>
        <v>-163.5</v>
      </c>
      <c r="D158" t="s">
        <v>22</v>
      </c>
    </row>
    <row r="159" spans="2:5">
      <c r="D159" t="s">
        <v>25</v>
      </c>
    </row>
    <row r="160" spans="2:5">
      <c r="B160" t="s">
        <v>23</v>
      </c>
      <c r="C160" t="s">
        <v>24</v>
      </c>
      <c r="D160" t="s">
        <v>18</v>
      </c>
      <c r="E160" t="s">
        <v>26</v>
      </c>
    </row>
    <row r="161" spans="1:10">
      <c r="B161">
        <v>0</v>
      </c>
      <c r="C161">
        <v>0</v>
      </c>
      <c r="D161">
        <f>B161+B150</f>
        <v>-4.0722413033458776E-2</v>
      </c>
      <c r="E161">
        <f>C161+C150</f>
        <v>14.886533139841104</v>
      </c>
    </row>
    <row r="162" spans="1:10">
      <c r="B162">
        <f>COS(RADIANS(B158))</f>
        <v>-0.95881973486819305</v>
      </c>
      <c r="C162">
        <f>SIN(RADIANS(B158))</f>
        <v>-0.28401534470392259</v>
      </c>
      <c r="D162">
        <f>B162+B150</f>
        <v>-0.99954214790165186</v>
      </c>
      <c r="E162">
        <f>C162+C150</f>
        <v>14.602517795137182</v>
      </c>
    </row>
    <row r="164" spans="1:10">
      <c r="B164" t="s">
        <v>27</v>
      </c>
    </row>
    <row r="165" spans="1:10">
      <c r="B165" t="s">
        <v>12</v>
      </c>
      <c r="C165" t="s">
        <v>13</v>
      </c>
    </row>
    <row r="166" spans="1:10">
      <c r="B166">
        <f>B145</f>
        <v>4.0107809335358429</v>
      </c>
      <c r="C166">
        <f>C145</f>
        <v>15.049861817603272</v>
      </c>
      <c r="D166" t="s">
        <v>30</v>
      </c>
    </row>
    <row r="167" spans="1:10">
      <c r="B167">
        <f>(E161-E162)/(D161-D162)</f>
        <v>0.29621349496208005</v>
      </c>
      <c r="C167">
        <f>E162-B167*D162</f>
        <v>14.898595668129035</v>
      </c>
      <c r="D167" t="s">
        <v>31</v>
      </c>
    </row>
    <row r="169" spans="1:10">
      <c r="B169">
        <f>DEGREES(ATAN((B167-B166)/(1+B166*B167)))</f>
        <v>-59.5</v>
      </c>
      <c r="D169" t="s">
        <v>32</v>
      </c>
    </row>
    <row r="171" spans="1:10">
      <c r="B171" t="s">
        <v>33</v>
      </c>
      <c r="D171" t="s">
        <v>34</v>
      </c>
      <c r="F171" t="s">
        <v>35</v>
      </c>
      <c r="H171" t="s">
        <v>9</v>
      </c>
    </row>
    <row r="172" spans="1:10">
      <c r="B172" t="s">
        <v>2</v>
      </c>
      <c r="C172" t="s">
        <v>3</v>
      </c>
      <c r="D172" t="s">
        <v>2</v>
      </c>
      <c r="E172" t="s">
        <v>3</v>
      </c>
      <c r="F172" t="s">
        <v>2</v>
      </c>
      <c r="G172" t="s">
        <v>3</v>
      </c>
      <c r="H172" t="s">
        <v>2</v>
      </c>
      <c r="I172" t="s">
        <v>3</v>
      </c>
    </row>
    <row r="173" spans="1:10">
      <c r="B173">
        <f>D161</f>
        <v>-4.0722413033458776E-2</v>
      </c>
      <c r="C173">
        <f>E161</f>
        <v>14.886533139841104</v>
      </c>
      <c r="D173">
        <f>B173-B173</f>
        <v>0</v>
      </c>
      <c r="E173">
        <f>C173-C173</f>
        <v>0</v>
      </c>
      <c r="F173">
        <v>0</v>
      </c>
      <c r="G173">
        <v>0</v>
      </c>
      <c r="H173">
        <f>F173+B173</f>
        <v>-4.0722413033458776E-2</v>
      </c>
      <c r="I173">
        <f>G173+C173</f>
        <v>14.886533139841104</v>
      </c>
    </row>
    <row r="174" spans="1:10">
      <c r="B174">
        <f>D162</f>
        <v>-0.99954214790165186</v>
      </c>
      <c r="C174">
        <f>E162</f>
        <v>14.602517795137182</v>
      </c>
      <c r="D174">
        <f>(B174-B173)*10</f>
        <v>-9.5881973486819305</v>
      </c>
      <c r="E174">
        <f>(C174-C173)*10</f>
        <v>-2.8401534470392242</v>
      </c>
      <c r="F174">
        <f>COS(RADIANS(B169))*D174-SIN(RADIANS(B169))*E174</f>
        <v>-7.3135370161917033</v>
      </c>
      <c r="G174">
        <f>SIN(RADIANS(B169))*D174+COS(RADIANS(B169))*E174</f>
        <v>6.8199836006249859</v>
      </c>
      <c r="H174">
        <f>F174+B173</f>
        <v>-7.354259429225162</v>
      </c>
      <c r="I174">
        <f>G174+C173</f>
        <v>21.706516740466089</v>
      </c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Virtual Octant</vt:lpstr>
      <vt:lpstr>Sheet2</vt:lpstr>
    </vt:vector>
  </TitlesOfParts>
  <Company>Tactronics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Morris</dc:creator>
  <cp:lastModifiedBy>Brad Morris</cp:lastModifiedBy>
  <dcterms:created xsi:type="dcterms:W3CDTF">2010-03-24T18:31:47Z</dcterms:created>
  <dcterms:modified xsi:type="dcterms:W3CDTF">2010-04-02T17:19:39Z</dcterms:modified>
</cp:coreProperties>
</file>